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nni\Downloads\"/>
    </mc:Choice>
  </mc:AlternateContent>
  <xr:revisionPtr revIDLastSave="0" documentId="8_{E4245788-DEC2-476F-AAB6-CB52483C2B9C}" xr6:coauthVersionLast="47" xr6:coauthVersionMax="47" xr10:uidLastSave="{00000000-0000-0000-0000-000000000000}"/>
  <bookViews>
    <workbookView xWindow="28680" yWindow="-1095" windowWidth="29040" windowHeight="15840" tabRatio="790" xr2:uid="{00000000-000D-0000-FFFF-FFFF00000000}"/>
  </bookViews>
  <sheets>
    <sheet name="Top" sheetId="9" r:id="rId1"/>
    <sheet name="Hold" sheetId="2" r:id="rId2"/>
    <sheet name="pers. score " sheetId="5" r:id="rId3"/>
  </sheets>
  <definedNames>
    <definedName name="_xlnm.Print_Area" localSheetId="2">'pers. score '!$A$2:$D$5</definedName>
    <definedName name="_xlnm.Print_Area" localSheetId="0">Top!$A$1:$D$44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8" i="2" l="1"/>
  <c r="O87" i="2"/>
  <c r="O86" i="2"/>
  <c r="O85" i="2"/>
  <c r="O79" i="2"/>
  <c r="O77" i="2"/>
  <c r="N64" i="2"/>
  <c r="N63" i="2"/>
  <c r="N62" i="2"/>
  <c r="N61" i="2"/>
  <c r="N88" i="2"/>
  <c r="N87" i="2"/>
  <c r="N86" i="2"/>
  <c r="N85" i="2"/>
  <c r="O96" i="2"/>
  <c r="O95" i="2"/>
  <c r="O94" i="2"/>
  <c r="O93" i="2"/>
  <c r="O160" i="2"/>
  <c r="O158" i="2"/>
  <c r="O157" i="2"/>
  <c r="N152" i="2"/>
  <c r="O151" i="2"/>
  <c r="M150" i="2"/>
  <c r="N96" i="2"/>
  <c r="N95" i="2"/>
  <c r="N94" i="2"/>
  <c r="N93" i="2"/>
  <c r="O237" i="2" l="1"/>
  <c r="O238" i="2"/>
  <c r="O239" i="2"/>
  <c r="O248" i="2"/>
  <c r="O246" i="2"/>
  <c r="O41" i="2"/>
  <c r="O39" i="2"/>
  <c r="O38" i="2"/>
  <c r="N41" i="2" l="1"/>
  <c r="N39" i="2"/>
  <c r="N38" i="2"/>
  <c r="M41" i="2"/>
  <c r="M38" i="2"/>
  <c r="M39" i="2"/>
  <c r="O135" i="2" l="1"/>
  <c r="O134" i="2"/>
  <c r="O133" i="2"/>
  <c r="O55" i="2"/>
  <c r="O54" i="2"/>
  <c r="O53" i="2"/>
  <c r="O104" i="2"/>
  <c r="O102" i="2"/>
  <c r="O101" i="2"/>
  <c r="N160" i="2" l="1"/>
  <c r="N159" i="2"/>
  <c r="N158" i="2"/>
  <c r="N157" i="2"/>
  <c r="O145" i="2"/>
  <c r="O144" i="2"/>
  <c r="O142" i="2"/>
  <c r="O141" i="2"/>
  <c r="O209" i="2"/>
  <c r="O208" i="2"/>
  <c r="O207" i="2"/>
  <c r="O205" i="2"/>
  <c r="O265" i="2"/>
  <c r="O264" i="2"/>
  <c r="O263" i="2"/>
  <c r="O262" i="2"/>
  <c r="O25" i="2"/>
  <c r="O24" i="2"/>
  <c r="O23" i="2"/>
  <c r="O21" i="2"/>
  <c r="O184" i="2"/>
  <c r="O183" i="2"/>
  <c r="O182" i="2"/>
  <c r="O181" i="2"/>
  <c r="O169" i="2"/>
  <c r="O167" i="2"/>
  <c r="O168" i="2"/>
  <c r="O165" i="2"/>
  <c r="O175" i="2"/>
  <c r="O177" i="2"/>
  <c r="O176" i="2"/>
  <c r="O173" i="2"/>
  <c r="O112" i="2"/>
  <c r="O111" i="2"/>
  <c r="O110" i="2"/>
  <c r="O109" i="2"/>
  <c r="N120" i="2"/>
  <c r="N119" i="2"/>
  <c r="N118" i="2"/>
  <c r="N117" i="2"/>
  <c r="O32" i="2"/>
  <c r="O29" i="2"/>
  <c r="O33" i="2"/>
  <c r="O48" i="2"/>
  <c r="O47" i="2"/>
  <c r="O45" i="2"/>
  <c r="N249" i="2"/>
  <c r="M249" i="2"/>
  <c r="N248" i="2"/>
  <c r="M248" i="2"/>
  <c r="N246" i="2"/>
  <c r="M246" i="2"/>
  <c r="N240" i="2"/>
  <c r="N238" i="2"/>
  <c r="N237" i="2"/>
  <c r="M240" i="2"/>
  <c r="M238" i="2"/>
  <c r="M237" i="2"/>
  <c r="O127" i="2" l="1"/>
  <c r="O126" i="2"/>
  <c r="O125" i="2"/>
  <c r="N127" i="2"/>
  <c r="N126" i="2"/>
  <c r="N125" i="2"/>
  <c r="O199" i="2" l="1"/>
  <c r="O198" i="2"/>
  <c r="O197" i="2"/>
  <c r="N199" i="2"/>
  <c r="N198" i="2"/>
  <c r="N197" i="2"/>
  <c r="K37" i="2" l="1"/>
  <c r="L39" i="2"/>
  <c r="K39" i="2"/>
  <c r="L38" i="2"/>
  <c r="K38" i="2"/>
  <c r="M88" i="2"/>
  <c r="M87" i="2"/>
  <c r="M86" i="2"/>
  <c r="M85" i="2"/>
  <c r="N25" i="2"/>
  <c r="N24" i="2"/>
  <c r="N23" i="2"/>
  <c r="N21" i="2"/>
  <c r="N112" i="2"/>
  <c r="N111" i="2"/>
  <c r="N110" i="2"/>
  <c r="N109" i="2"/>
  <c r="M120" i="2"/>
  <c r="M119" i="2"/>
  <c r="M118" i="2"/>
  <c r="M117" i="2"/>
  <c r="N48" i="2"/>
  <c r="N47" i="2"/>
  <c r="N45" i="2"/>
  <c r="N33" i="2"/>
  <c r="N32" i="2"/>
  <c r="N29" i="2"/>
  <c r="N169" i="2"/>
  <c r="N183" i="2"/>
  <c r="N185" i="2"/>
  <c r="N174" i="2"/>
  <c r="N184" i="2"/>
  <c r="N181" i="2"/>
  <c r="N177" i="2"/>
  <c r="N176" i="2"/>
  <c r="N173" i="2"/>
  <c r="N55" i="2"/>
  <c r="N54" i="2"/>
  <c r="N53" i="2"/>
  <c r="N133" i="2"/>
  <c r="N134" i="2"/>
  <c r="N135" i="2"/>
  <c r="N168" i="2"/>
  <c r="N166" i="2"/>
  <c r="N165" i="2"/>
  <c r="M161" i="2"/>
  <c r="M160" i="2"/>
  <c r="M158" i="2"/>
  <c r="M157" i="2"/>
  <c r="L161" i="2"/>
  <c r="L160" i="2"/>
  <c r="L158" i="2"/>
  <c r="L157" i="2"/>
  <c r="O71" i="2"/>
  <c r="O70" i="2"/>
  <c r="O69" i="2"/>
  <c r="M96" i="2"/>
  <c r="M95" i="2"/>
  <c r="M94" i="2"/>
  <c r="M93" i="2"/>
  <c r="N145" i="2"/>
  <c r="N144" i="2"/>
  <c r="N143" i="2"/>
  <c r="N141" i="2"/>
  <c r="N264" i="2"/>
  <c r="N265" i="2"/>
  <c r="N263" i="2"/>
  <c r="N262" i="2"/>
  <c r="N206" i="2"/>
  <c r="N209" i="2"/>
  <c r="N207" i="2"/>
  <c r="N205" i="2"/>
  <c r="M64" i="2"/>
  <c r="M63" i="2"/>
  <c r="M62" i="2"/>
  <c r="M61" i="2"/>
  <c r="L96" i="2"/>
  <c r="L95" i="2"/>
  <c r="L94" i="2"/>
  <c r="L93" i="2"/>
  <c r="N104" i="2"/>
  <c r="N103" i="2"/>
  <c r="N101" i="2"/>
  <c r="O7" i="2"/>
  <c r="O6" i="2"/>
  <c r="O5" i="2"/>
  <c r="L88" i="2" l="1"/>
  <c r="L87" i="2"/>
  <c r="L86" i="2"/>
  <c r="L85" i="2"/>
  <c r="M55" i="2"/>
  <c r="M54" i="2"/>
  <c r="M53" i="2"/>
  <c r="M133" i="2"/>
  <c r="M134" i="2"/>
  <c r="M135" i="2"/>
  <c r="L135" i="2"/>
  <c r="L134" i="2"/>
  <c r="L133" i="2"/>
  <c r="L55" i="2"/>
  <c r="L54" i="2"/>
  <c r="L53" i="2"/>
  <c r="N80" i="2"/>
  <c r="N79" i="2"/>
  <c r="N77" i="2"/>
  <c r="N7" i="2"/>
  <c r="N6" i="2"/>
  <c r="N5" i="2"/>
  <c r="M127" i="2"/>
  <c r="M126" i="2"/>
  <c r="M125" i="2"/>
  <c r="L127" i="2"/>
  <c r="L126" i="2"/>
  <c r="L125" i="2"/>
  <c r="M199" i="2" l="1"/>
  <c r="M198" i="2"/>
  <c r="M197" i="2"/>
  <c r="L199" i="2"/>
  <c r="L198" i="2"/>
  <c r="L197" i="2"/>
  <c r="M144" i="2"/>
  <c r="M143" i="2"/>
  <c r="M142" i="2"/>
  <c r="M141" i="2"/>
  <c r="L249" i="2" l="1"/>
  <c r="L248" i="2"/>
  <c r="L246" i="2"/>
  <c r="L238" i="2"/>
  <c r="L239" i="2"/>
  <c r="L240" i="2"/>
  <c r="M165" i="2" l="1"/>
  <c r="M168" i="2"/>
  <c r="M183" i="2"/>
  <c r="M182" i="2"/>
  <c r="M181" i="2"/>
  <c r="L120" i="2"/>
  <c r="L119" i="2"/>
  <c r="L118" i="2"/>
  <c r="L117" i="2"/>
  <c r="M166" i="2"/>
  <c r="M177" i="2"/>
  <c r="M176" i="2"/>
  <c r="M173" i="2"/>
  <c r="M184" i="2"/>
  <c r="K135" i="2"/>
  <c r="K134" i="2"/>
  <c r="K133" i="2"/>
  <c r="K55" i="2"/>
  <c r="K54" i="2"/>
  <c r="K53" i="2"/>
  <c r="L64" i="2"/>
  <c r="L63" i="2"/>
  <c r="L62" i="2"/>
  <c r="L61" i="2"/>
  <c r="M25" i="2"/>
  <c r="M24" i="2"/>
  <c r="M23" i="2"/>
  <c r="M21" i="2"/>
  <c r="L145" i="2"/>
  <c r="L143" i="2"/>
  <c r="L142" i="2"/>
  <c r="L141" i="2"/>
  <c r="L152" i="2"/>
  <c r="L151" i="2"/>
  <c r="L150" i="2"/>
  <c r="M48" i="2"/>
  <c r="M47" i="2"/>
  <c r="M45" i="2"/>
  <c r="M33" i="2"/>
  <c r="M32" i="2"/>
  <c r="M29" i="2"/>
  <c r="M206" i="2"/>
  <c r="M208" i="2"/>
  <c r="M207" i="2"/>
  <c r="M205" i="2"/>
  <c r="M112" i="2"/>
  <c r="M111" i="2"/>
  <c r="M110" i="2"/>
  <c r="M109" i="2"/>
  <c r="M265" i="2"/>
  <c r="M264" i="2"/>
  <c r="M263" i="2"/>
  <c r="M262" i="2"/>
  <c r="K88" i="2"/>
  <c r="J88" i="2"/>
  <c r="K87" i="2"/>
  <c r="J87" i="2"/>
  <c r="K85" i="2"/>
  <c r="J85" i="2"/>
  <c r="N71" i="2"/>
  <c r="N70" i="2"/>
  <c r="N69" i="2"/>
  <c r="M104" i="2"/>
  <c r="M103" i="2"/>
  <c r="M101" i="2"/>
  <c r="M80" i="2"/>
  <c r="M79" i="2"/>
  <c r="M77" i="2"/>
  <c r="L23" i="2" l="1"/>
  <c r="K127" i="2" l="1"/>
  <c r="K126" i="2"/>
  <c r="K125" i="2"/>
  <c r="L80" i="2"/>
  <c r="L79" i="2"/>
  <c r="L77" i="2"/>
  <c r="M7" i="2"/>
  <c r="M6" i="2"/>
  <c r="M5" i="2"/>
  <c r="J125" i="2"/>
  <c r="J127" i="2"/>
  <c r="J126" i="2"/>
  <c r="K240" i="2" l="1"/>
  <c r="K239" i="2"/>
  <c r="K238" i="2"/>
  <c r="K249" i="2"/>
  <c r="K248" i="2"/>
  <c r="K246" i="2"/>
  <c r="L25" i="2"/>
  <c r="L24" i="2"/>
  <c r="L21" i="2"/>
  <c r="K197" i="2"/>
  <c r="L104" i="2" l="1"/>
  <c r="L103" i="2"/>
  <c r="L102" i="2"/>
  <c r="L101" i="2"/>
  <c r="M71" i="2"/>
  <c r="M70" i="2"/>
  <c r="M69" i="2"/>
  <c r="K80" i="2"/>
  <c r="K79" i="2"/>
  <c r="K77" i="2"/>
  <c r="L6" i="2"/>
  <c r="L5" i="2"/>
  <c r="K96" i="2" l="1"/>
  <c r="K95" i="2"/>
  <c r="K94" i="2"/>
  <c r="K93" i="2"/>
  <c r="K141" i="2"/>
  <c r="K145" i="2"/>
  <c r="K144" i="2"/>
  <c r="K142" i="2"/>
  <c r="K152" i="2"/>
  <c r="K151" i="2"/>
  <c r="K150" i="2"/>
  <c r="J183" i="2"/>
  <c r="J184" i="2"/>
  <c r="J181" i="2"/>
  <c r="L165" i="2"/>
  <c r="L168" i="2"/>
  <c r="L184" i="2"/>
  <c r="L166" i="2"/>
  <c r="L169" i="2"/>
  <c r="L181" i="2"/>
  <c r="K182" i="2"/>
  <c r="L176" i="2"/>
  <c r="L173" i="2"/>
  <c r="L174" i="2"/>
  <c r="L175" i="2"/>
  <c r="J166" i="2"/>
  <c r="K181" i="2"/>
  <c r="K184" i="2"/>
  <c r="K169" i="2"/>
  <c r="K168" i="2"/>
  <c r="K166" i="2"/>
  <c r="L265" i="2"/>
  <c r="L263" i="2"/>
  <c r="L264" i="2"/>
  <c r="L262" i="2"/>
  <c r="L208" i="2"/>
  <c r="L207" i="2"/>
  <c r="L206" i="2"/>
  <c r="L205" i="2"/>
  <c r="L71" i="2"/>
  <c r="L70" i="2"/>
  <c r="L69" i="2"/>
  <c r="K71" i="2"/>
  <c r="K70" i="2"/>
  <c r="K69" i="2"/>
  <c r="L112" i="2"/>
  <c r="L111" i="2"/>
  <c r="L110" i="2"/>
  <c r="L109" i="2"/>
  <c r="K120" i="2"/>
  <c r="K119" i="2"/>
  <c r="K118" i="2"/>
  <c r="K117" i="2"/>
  <c r="L48" i="2"/>
  <c r="L47" i="2"/>
  <c r="L45" i="2"/>
  <c r="L33" i="2"/>
  <c r="L32" i="2"/>
  <c r="L29" i="2"/>
  <c r="K64" i="2"/>
  <c r="K63" i="2"/>
  <c r="K62" i="2"/>
  <c r="K61" i="2"/>
  <c r="J240" i="2" l="1"/>
  <c r="J238" i="2"/>
  <c r="J237" i="2"/>
  <c r="J248" i="2"/>
  <c r="J246" i="2"/>
  <c r="J39" i="2" l="1"/>
  <c r="J38" i="2"/>
  <c r="J37" i="2"/>
  <c r="D205" i="5" l="1"/>
  <c r="D204" i="5"/>
  <c r="D203" i="5"/>
  <c r="D202" i="5"/>
  <c r="D201" i="5"/>
  <c r="D200" i="5"/>
  <c r="D199" i="5"/>
  <c r="D198" i="5"/>
  <c r="D197" i="5"/>
  <c r="D192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1" i="5"/>
  <c r="D138" i="5"/>
  <c r="D137" i="5"/>
  <c r="R257" i="2"/>
  <c r="R256" i="2"/>
  <c r="R255" i="2"/>
  <c r="R254" i="2"/>
  <c r="R253" i="2"/>
  <c r="R249" i="2"/>
  <c r="R248" i="2"/>
  <c r="R247" i="2"/>
  <c r="R246" i="2"/>
  <c r="R245" i="2"/>
  <c r="R241" i="2"/>
  <c r="R240" i="2"/>
  <c r="R239" i="2"/>
  <c r="R238" i="2"/>
  <c r="R237" i="2"/>
  <c r="R233" i="2"/>
  <c r="R232" i="2"/>
  <c r="R231" i="2"/>
  <c r="R230" i="2"/>
  <c r="R229" i="2"/>
  <c r="R225" i="2"/>
  <c r="R224" i="2"/>
  <c r="R223" i="2"/>
  <c r="R222" i="2"/>
  <c r="R221" i="2"/>
  <c r="R217" i="2"/>
  <c r="R216" i="2"/>
  <c r="R215" i="2"/>
  <c r="R214" i="2"/>
  <c r="R213" i="2"/>
  <c r="R209" i="2"/>
  <c r="R201" i="2"/>
  <c r="R200" i="2"/>
  <c r="R193" i="2"/>
  <c r="R192" i="2"/>
  <c r="R191" i="2"/>
  <c r="R190" i="2"/>
  <c r="R189" i="2"/>
  <c r="R185" i="2"/>
  <c r="R184" i="2"/>
  <c r="R183" i="2"/>
  <c r="R182" i="2"/>
  <c r="R174" i="2"/>
  <c r="R169" i="2"/>
  <c r="R167" i="2"/>
  <c r="R166" i="2"/>
  <c r="R161" i="2"/>
  <c r="R153" i="2"/>
  <c r="R142" i="2"/>
  <c r="R141" i="2"/>
  <c r="R137" i="2"/>
  <c r="R136" i="2"/>
  <c r="R129" i="2"/>
  <c r="R128" i="2"/>
  <c r="R127" i="2"/>
  <c r="R126" i="2"/>
  <c r="R125" i="2"/>
  <c r="R121" i="2"/>
  <c r="R113" i="2"/>
  <c r="R105" i="2"/>
  <c r="R97" i="2"/>
  <c r="R89" i="2"/>
  <c r="R88" i="2"/>
  <c r="R87" i="2"/>
  <c r="R86" i="2"/>
  <c r="R85" i="2"/>
  <c r="R81" i="2"/>
  <c r="R78" i="2"/>
  <c r="R73" i="2"/>
  <c r="R72" i="2"/>
  <c r="R65" i="2"/>
  <c r="R57" i="2"/>
  <c r="R56" i="2"/>
  <c r="R49" i="2"/>
  <c r="R46" i="2"/>
  <c r="R41" i="2"/>
  <c r="R40" i="2"/>
  <c r="R39" i="2"/>
  <c r="R38" i="2"/>
  <c r="R37" i="2"/>
  <c r="R31" i="2"/>
  <c r="R30" i="2"/>
  <c r="R22" i="2"/>
  <c r="R17" i="2"/>
  <c r="R16" i="2"/>
  <c r="R15" i="2"/>
  <c r="R14" i="2"/>
  <c r="R13" i="2"/>
  <c r="R8" i="2"/>
  <c r="J168" i="2"/>
  <c r="R168" i="2" s="1"/>
  <c r="Q249" i="2"/>
  <c r="D96" i="5" s="1"/>
  <c r="Q248" i="2"/>
  <c r="D75" i="5" s="1"/>
  <c r="Q247" i="2"/>
  <c r="D103" i="5" s="1"/>
  <c r="Q246" i="2"/>
  <c r="D98" i="5" s="1"/>
  <c r="Q245" i="2"/>
  <c r="D129" i="5" s="1"/>
  <c r="Q241" i="2"/>
  <c r="D196" i="5" s="1"/>
  <c r="Q240" i="2"/>
  <c r="D88" i="5" s="1"/>
  <c r="Q239" i="2"/>
  <c r="D84" i="5" s="1"/>
  <c r="Q238" i="2"/>
  <c r="D63" i="5" s="1"/>
  <c r="Q237" i="2"/>
  <c r="D80" i="5" s="1"/>
  <c r="Q233" i="2"/>
  <c r="D195" i="5" s="1"/>
  <c r="Q232" i="2"/>
  <c r="D124" i="5" s="1"/>
  <c r="Q231" i="2"/>
  <c r="D118" i="5" s="1"/>
  <c r="Q230" i="2"/>
  <c r="D127" i="5" s="1"/>
  <c r="Q229" i="2"/>
  <c r="D121" i="5" s="1"/>
  <c r="Q225" i="2"/>
  <c r="D140" i="5" s="1"/>
  <c r="Q224" i="2"/>
  <c r="D119" i="5" s="1"/>
  <c r="Q223" i="2"/>
  <c r="D126" i="5" s="1"/>
  <c r="Q222" i="2"/>
  <c r="D128" i="5" s="1"/>
  <c r="Q221" i="2"/>
  <c r="D123" i="5" s="1"/>
  <c r="Q217" i="2"/>
  <c r="D139" i="5" s="1"/>
  <c r="Q216" i="2"/>
  <c r="D125" i="5" s="1"/>
  <c r="Q215" i="2"/>
  <c r="D122" i="5" s="1"/>
  <c r="Q214" i="2"/>
  <c r="D117" i="5" s="1"/>
  <c r="Q213" i="2"/>
  <c r="D120" i="5" s="1"/>
  <c r="Q209" i="2"/>
  <c r="D105" i="5" s="1"/>
  <c r="Q201" i="2"/>
  <c r="D194" i="5" s="1"/>
  <c r="Q200" i="2"/>
  <c r="D193" i="5" s="1"/>
  <c r="Q185" i="2"/>
  <c r="D61" i="5" s="1"/>
  <c r="Q184" i="2"/>
  <c r="D85" i="5" s="1"/>
  <c r="Q183" i="2"/>
  <c r="D83" i="5" s="1"/>
  <c r="Q182" i="2"/>
  <c r="D73" i="5" s="1"/>
  <c r="Q174" i="2"/>
  <c r="D77" i="5" s="1"/>
  <c r="Q169" i="2"/>
  <c r="D59" i="5" s="1"/>
  <c r="Q167" i="2"/>
  <c r="D72" i="5" s="1"/>
  <c r="Q166" i="2"/>
  <c r="D36" i="5" s="1"/>
  <c r="Q161" i="2"/>
  <c r="D49" i="5" s="1"/>
  <c r="Q153" i="2"/>
  <c r="D191" i="5" s="1"/>
  <c r="Q142" i="2"/>
  <c r="D32" i="5" s="1"/>
  <c r="Q141" i="2"/>
  <c r="D45" i="5" s="1"/>
  <c r="Q137" i="2"/>
  <c r="D190" i="5" s="1"/>
  <c r="Q136" i="2"/>
  <c r="D175" i="5" s="1"/>
  <c r="Q129" i="2"/>
  <c r="D189" i="5" s="1"/>
  <c r="Q128" i="2"/>
  <c r="D130" i="5" s="1"/>
  <c r="Q127" i="2"/>
  <c r="D52" i="5" s="1"/>
  <c r="Q126" i="2"/>
  <c r="D68" i="5" s="1"/>
  <c r="Q125" i="2"/>
  <c r="D39" i="5" s="1"/>
  <c r="Q121" i="2"/>
  <c r="D188" i="5" s="1"/>
  <c r="Q113" i="2"/>
  <c r="D187" i="5" s="1"/>
  <c r="Q105" i="2"/>
  <c r="D186" i="5" s="1"/>
  <c r="Q97" i="2"/>
  <c r="D185" i="5" s="1"/>
  <c r="Q89" i="2"/>
  <c r="D184" i="5" s="1"/>
  <c r="Q88" i="2"/>
  <c r="D14" i="5" s="1"/>
  <c r="Q87" i="2"/>
  <c r="D58" i="5" s="1"/>
  <c r="Q86" i="2"/>
  <c r="D60" i="5" s="1"/>
  <c r="Q85" i="2"/>
  <c r="D41" i="5" s="1"/>
  <c r="Q81" i="2"/>
  <c r="D183" i="5" s="1"/>
  <c r="Q78" i="2"/>
  <c r="D136" i="5" s="1"/>
  <c r="Q73" i="2"/>
  <c r="D182" i="5" s="1"/>
  <c r="Q72" i="2"/>
  <c r="D181" i="5" s="1"/>
  <c r="Q65" i="2"/>
  <c r="D180" i="5" s="1"/>
  <c r="Q57" i="2"/>
  <c r="D179" i="5" s="1"/>
  <c r="Q56" i="2"/>
  <c r="D142" i="5" s="1"/>
  <c r="Q49" i="2"/>
  <c r="D135" i="5" s="1"/>
  <c r="Q46" i="2"/>
  <c r="D134" i="5" s="1"/>
  <c r="Q41" i="2"/>
  <c r="D108" i="5" s="1"/>
  <c r="Q40" i="2"/>
  <c r="D131" i="5" s="1"/>
  <c r="Q39" i="2"/>
  <c r="D30" i="5" s="1"/>
  <c r="Q38" i="2"/>
  <c r="D50" i="5" s="1"/>
  <c r="Q37" i="2"/>
  <c r="D107" i="5" s="1"/>
  <c r="Q31" i="2"/>
  <c r="D132" i="5" s="1"/>
  <c r="Q30" i="2"/>
  <c r="D133" i="5" s="1"/>
  <c r="Q22" i="2"/>
  <c r="D178" i="5" s="1"/>
  <c r="Q17" i="2"/>
  <c r="D177" i="5" s="1"/>
  <c r="Q16" i="2"/>
  <c r="D113" i="5" s="1"/>
  <c r="Q15" i="2"/>
  <c r="D116" i="5" s="1"/>
  <c r="Q14" i="2"/>
  <c r="D114" i="5" s="1"/>
  <c r="Q13" i="2"/>
  <c r="D115" i="5" s="1"/>
  <c r="Q8" i="2"/>
  <c r="D176" i="5" s="1"/>
  <c r="J80" i="2"/>
  <c r="R80" i="2" s="1"/>
  <c r="J79" i="2"/>
  <c r="R79" i="2" s="1"/>
  <c r="J77" i="2"/>
  <c r="R77" i="2" s="1"/>
  <c r="J96" i="2"/>
  <c r="R96" i="2" s="1"/>
  <c r="J95" i="2"/>
  <c r="Q95" i="2" s="1"/>
  <c r="D29" i="5" s="1"/>
  <c r="J94" i="2"/>
  <c r="R94" i="2" s="1"/>
  <c r="J93" i="2"/>
  <c r="R93" i="2" s="1"/>
  <c r="K265" i="2"/>
  <c r="K264" i="2"/>
  <c r="Q264" i="2" s="1"/>
  <c r="D110" i="5" s="1"/>
  <c r="K263" i="2"/>
  <c r="K262" i="2"/>
  <c r="K199" i="2"/>
  <c r="K198" i="2"/>
  <c r="K208" i="2"/>
  <c r="K207" i="2"/>
  <c r="K206" i="2"/>
  <c r="K205" i="2"/>
  <c r="K9" i="2"/>
  <c r="K7" i="2"/>
  <c r="Q7" i="2" s="1"/>
  <c r="D28" i="5" s="1"/>
  <c r="K6" i="2"/>
  <c r="J135" i="2"/>
  <c r="R135" i="2" s="1"/>
  <c r="J134" i="2"/>
  <c r="Q134" i="2" s="1"/>
  <c r="D31" i="5" s="1"/>
  <c r="J133" i="2"/>
  <c r="R133" i="2" s="1"/>
  <c r="J55" i="2"/>
  <c r="R55" i="2" s="1"/>
  <c r="J54" i="2"/>
  <c r="J53" i="2"/>
  <c r="Q53" i="2" s="1"/>
  <c r="D47" i="5" s="1"/>
  <c r="J64" i="2"/>
  <c r="R64" i="2" s="1"/>
  <c r="J63" i="2"/>
  <c r="R63" i="2" s="1"/>
  <c r="J62" i="2"/>
  <c r="Q62" i="2" s="1"/>
  <c r="D20" i="5" s="1"/>
  <c r="J61" i="2"/>
  <c r="Q61" i="2" s="1"/>
  <c r="D38" i="5" s="1"/>
  <c r="K33" i="2"/>
  <c r="K32" i="2"/>
  <c r="K29" i="2"/>
  <c r="J120" i="2"/>
  <c r="J119" i="2"/>
  <c r="J118" i="2"/>
  <c r="J117" i="2"/>
  <c r="O117" i="2" s="1"/>
  <c r="K112" i="2"/>
  <c r="K111" i="2"/>
  <c r="K110" i="2"/>
  <c r="K109" i="2"/>
  <c r="K48" i="2"/>
  <c r="K47" i="2"/>
  <c r="K45" i="2"/>
  <c r="K160" i="2"/>
  <c r="K159" i="2"/>
  <c r="K158" i="2"/>
  <c r="R181" i="2"/>
  <c r="J165" i="2"/>
  <c r="Q165" i="2" s="1"/>
  <c r="D92" i="5" s="1"/>
  <c r="K175" i="2"/>
  <c r="K177" i="2"/>
  <c r="K176" i="2"/>
  <c r="K173" i="2"/>
  <c r="J9" i="2"/>
  <c r="Q9" i="2" s="1"/>
  <c r="D34" i="5" s="1"/>
  <c r="J6" i="2"/>
  <c r="J5" i="2"/>
  <c r="R5" i="2" s="1"/>
  <c r="K104" i="2"/>
  <c r="K103" i="2"/>
  <c r="K101" i="2"/>
  <c r="O120" i="2" l="1"/>
  <c r="Q120" i="2" s="1"/>
  <c r="D74" i="5" s="1"/>
  <c r="O118" i="2"/>
  <c r="R118" i="2" s="1"/>
  <c r="O119" i="2"/>
  <c r="R119" i="2" s="1"/>
  <c r="R90" i="2"/>
  <c r="Q90" i="2" s="1"/>
  <c r="Q168" i="2"/>
  <c r="D93" i="5" s="1"/>
  <c r="Q6" i="2"/>
  <c r="D13" i="5" s="1"/>
  <c r="R53" i="2"/>
  <c r="R130" i="2"/>
  <c r="Q130" i="2" s="1"/>
  <c r="R82" i="2"/>
  <c r="Q82" i="2" s="1"/>
  <c r="Q63" i="2"/>
  <c r="D18" i="5" s="1"/>
  <c r="Q135" i="2"/>
  <c r="D81" i="5" s="1"/>
  <c r="Q64" i="2"/>
  <c r="D19" i="5" s="1"/>
  <c r="Q117" i="2"/>
  <c r="D78" i="5" s="1"/>
  <c r="R117" i="2"/>
  <c r="R134" i="2"/>
  <c r="R138" i="2" s="1"/>
  <c r="Q138" i="2" s="1"/>
  <c r="R120" i="2"/>
  <c r="R95" i="2"/>
  <c r="R98" i="2" s="1"/>
  <c r="Q98" i="2" s="1"/>
  <c r="Q77" i="2"/>
  <c r="D86" i="5" s="1"/>
  <c r="Q96" i="2"/>
  <c r="D54" i="5" s="1"/>
  <c r="R9" i="2"/>
  <c r="Q54" i="2"/>
  <c r="D48" i="5" s="1"/>
  <c r="Q79" i="2"/>
  <c r="D35" i="5" s="1"/>
  <c r="Q93" i="2"/>
  <c r="D33" i="5" s="1"/>
  <c r="Q118" i="2"/>
  <c r="D62" i="5" s="1"/>
  <c r="R7" i="2"/>
  <c r="R61" i="2"/>
  <c r="R264" i="2"/>
  <c r="Q5" i="2"/>
  <c r="D16" i="5" s="1"/>
  <c r="Q55" i="2"/>
  <c r="D94" i="5" s="1"/>
  <c r="Q80" i="2"/>
  <c r="D82" i="5" s="1"/>
  <c r="Q94" i="2"/>
  <c r="D12" i="5" s="1"/>
  <c r="Q119" i="2"/>
  <c r="D17" i="5" s="1"/>
  <c r="Q133" i="2"/>
  <c r="D76" i="5" s="1"/>
  <c r="R6" i="2"/>
  <c r="R62" i="2"/>
  <c r="R165" i="2"/>
  <c r="Q181" i="2"/>
  <c r="D43" i="5" s="1"/>
  <c r="R54" i="2"/>
  <c r="J152" i="2"/>
  <c r="J151" i="2"/>
  <c r="J150" i="2"/>
  <c r="J149" i="2"/>
  <c r="J145" i="2"/>
  <c r="J144" i="2"/>
  <c r="J143" i="2"/>
  <c r="J104" i="2"/>
  <c r="J103" i="2"/>
  <c r="J102" i="2"/>
  <c r="J101" i="2"/>
  <c r="R122" i="2" l="1"/>
  <c r="Q122" i="2" s="1"/>
  <c r="R66" i="2"/>
  <c r="Q66" i="2" s="1"/>
  <c r="R145" i="2"/>
  <c r="Q145" i="2"/>
  <c r="D69" i="5" s="1"/>
  <c r="Q149" i="2"/>
  <c r="D101" i="5" s="1"/>
  <c r="R149" i="2"/>
  <c r="Q101" i="2"/>
  <c r="D15" i="5" s="1"/>
  <c r="R101" i="2"/>
  <c r="Q150" i="2"/>
  <c r="D87" i="5" s="1"/>
  <c r="R150" i="2"/>
  <c r="Q102" i="2"/>
  <c r="D24" i="5" s="1"/>
  <c r="R102" i="2"/>
  <c r="Q151" i="2"/>
  <c r="D89" i="5" s="1"/>
  <c r="R151" i="2"/>
  <c r="R144" i="2"/>
  <c r="Q144" i="2"/>
  <c r="D6" i="5" s="1"/>
  <c r="R103" i="2"/>
  <c r="Q103" i="2"/>
  <c r="D56" i="5" s="1"/>
  <c r="Q152" i="2"/>
  <c r="D100" i="5" s="1"/>
  <c r="R152" i="2"/>
  <c r="R104" i="2"/>
  <c r="Q104" i="2"/>
  <c r="D42" i="5" s="1"/>
  <c r="R143" i="2"/>
  <c r="Q143" i="2"/>
  <c r="D22" i="5" s="1"/>
  <c r="J160" i="2"/>
  <c r="J159" i="2"/>
  <c r="J158" i="2"/>
  <c r="J157" i="2"/>
  <c r="J199" i="2"/>
  <c r="J198" i="2"/>
  <c r="J197" i="2"/>
  <c r="J177" i="2"/>
  <c r="J176" i="2"/>
  <c r="J173" i="2"/>
  <c r="J208" i="2"/>
  <c r="J207" i="2"/>
  <c r="J206" i="2"/>
  <c r="J205" i="2"/>
  <c r="J265" i="2"/>
  <c r="J263" i="2"/>
  <c r="J262" i="2"/>
  <c r="J261" i="2"/>
  <c r="J25" i="2"/>
  <c r="J24" i="2"/>
  <c r="J23" i="2"/>
  <c r="J21" i="2"/>
  <c r="J71" i="2"/>
  <c r="J70" i="2"/>
  <c r="J69" i="2"/>
  <c r="J109" i="2"/>
  <c r="J112" i="2"/>
  <c r="J111" i="2"/>
  <c r="J110" i="2"/>
  <c r="J48" i="2"/>
  <c r="J47" i="2"/>
  <c r="J45" i="2"/>
  <c r="J33" i="2"/>
  <c r="J32" i="2"/>
  <c r="J29" i="2"/>
  <c r="R146" i="2" l="1"/>
  <c r="Q146" i="2" s="1"/>
  <c r="R154" i="2"/>
  <c r="Q154" i="2" s="1"/>
  <c r="R106" i="2"/>
  <c r="Q106" i="2" s="1"/>
  <c r="Q111" i="2"/>
  <c r="D26" i="5" s="1"/>
  <c r="R111" i="2"/>
  <c r="R29" i="2"/>
  <c r="Q29" i="2"/>
  <c r="D64" i="5" s="1"/>
  <c r="Q112" i="2"/>
  <c r="D57" i="5" s="1"/>
  <c r="R112" i="2"/>
  <c r="Q25" i="2"/>
  <c r="D27" i="5" s="1"/>
  <c r="R25" i="2"/>
  <c r="R208" i="2"/>
  <c r="Q208" i="2"/>
  <c r="D111" i="5" s="1"/>
  <c r="R157" i="2"/>
  <c r="Q157" i="2"/>
  <c r="D97" i="5" s="1"/>
  <c r="Q32" i="2"/>
  <c r="D67" i="5" s="1"/>
  <c r="R32" i="2"/>
  <c r="Q109" i="2"/>
  <c r="D44" i="5" s="1"/>
  <c r="R109" i="2"/>
  <c r="R261" i="2"/>
  <c r="Q261" i="2"/>
  <c r="D106" i="5" s="1"/>
  <c r="Q173" i="2"/>
  <c r="D79" i="5" s="1"/>
  <c r="R173" i="2"/>
  <c r="R158" i="2"/>
  <c r="Q158" i="2"/>
  <c r="D104" i="5" s="1"/>
  <c r="Q33" i="2"/>
  <c r="D70" i="5" s="1"/>
  <c r="R33" i="2"/>
  <c r="R69" i="2"/>
  <c r="Q69" i="2"/>
  <c r="D37" i="5" s="1"/>
  <c r="R262" i="2"/>
  <c r="Q262" i="2"/>
  <c r="D112" i="5" s="1"/>
  <c r="Q176" i="2"/>
  <c r="D46" i="5" s="1"/>
  <c r="R176" i="2"/>
  <c r="R159" i="2"/>
  <c r="Q159" i="2"/>
  <c r="D91" i="5" s="1"/>
  <c r="Q24" i="2"/>
  <c r="D8" i="5" s="1"/>
  <c r="R24" i="2"/>
  <c r="Q207" i="2"/>
  <c r="D71" i="5" s="1"/>
  <c r="R207" i="2"/>
  <c r="R199" i="2"/>
  <c r="Q199" i="2"/>
  <c r="D11" i="5" s="1"/>
  <c r="Q45" i="2"/>
  <c r="D25" i="5" s="1"/>
  <c r="R45" i="2"/>
  <c r="R70" i="2"/>
  <c r="Q70" i="2"/>
  <c r="D55" i="5" s="1"/>
  <c r="Q263" i="2"/>
  <c r="D95" i="5" s="1"/>
  <c r="R263" i="2"/>
  <c r="Q177" i="2"/>
  <c r="D23" i="5" s="1"/>
  <c r="R177" i="2"/>
  <c r="Q160" i="2"/>
  <c r="D99" i="5" s="1"/>
  <c r="R160" i="2"/>
  <c r="Q47" i="2"/>
  <c r="D21" i="5" s="1"/>
  <c r="R47" i="2"/>
  <c r="Q71" i="2"/>
  <c r="D53" i="5" s="1"/>
  <c r="R71" i="2"/>
  <c r="Q265" i="2"/>
  <c r="D109" i="5" s="1"/>
  <c r="R265" i="2"/>
  <c r="Q175" i="2"/>
  <c r="D51" i="5" s="1"/>
  <c r="R175" i="2"/>
  <c r="Q48" i="2"/>
  <c r="D66" i="5" s="1"/>
  <c r="R48" i="2"/>
  <c r="Q21" i="2"/>
  <c r="D40" i="5" s="1"/>
  <c r="R21" i="2"/>
  <c r="R205" i="2"/>
  <c r="Q205" i="2"/>
  <c r="D102" i="5" s="1"/>
  <c r="R197" i="2"/>
  <c r="Q197" i="2"/>
  <c r="D9" i="5" s="1"/>
  <c r="Q110" i="2"/>
  <c r="D65" i="5" s="1"/>
  <c r="R110" i="2"/>
  <c r="Q23" i="2"/>
  <c r="D7" i="5" s="1"/>
  <c r="R23" i="2"/>
  <c r="R206" i="2"/>
  <c r="Q206" i="2"/>
  <c r="D90" i="5" s="1"/>
  <c r="Q198" i="2"/>
  <c r="D10" i="5" s="1"/>
  <c r="R198" i="2"/>
  <c r="H55" i="2"/>
  <c r="H54" i="2"/>
  <c r="H53" i="2"/>
  <c r="G16" i="2"/>
  <c r="G15" i="2"/>
  <c r="G14" i="2"/>
  <c r="G13" i="2"/>
  <c r="R114" i="2" l="1"/>
  <c r="Q114" i="2" s="1"/>
  <c r="R74" i="2"/>
  <c r="Q74" i="2" s="1"/>
  <c r="H199" i="2"/>
  <c r="H198" i="2"/>
  <c r="H197" i="2"/>
  <c r="G55" i="2" l="1"/>
  <c r="G54" i="2"/>
  <c r="G53" i="2"/>
  <c r="G135" i="2"/>
  <c r="G134" i="2"/>
  <c r="G133" i="2"/>
  <c r="F55" i="2" l="1"/>
  <c r="F54" i="2"/>
  <c r="F53" i="2"/>
  <c r="F135" i="2"/>
  <c r="F134" i="2"/>
  <c r="F133" i="2"/>
  <c r="H127" i="2"/>
  <c r="H126" i="2"/>
  <c r="H125" i="2"/>
  <c r="G127" i="2"/>
  <c r="G126" i="2"/>
  <c r="G125" i="2"/>
  <c r="H96" i="2" l="1"/>
  <c r="H95" i="2"/>
  <c r="H94" i="2"/>
  <c r="H93" i="2"/>
  <c r="H120" i="2" l="1"/>
  <c r="H119" i="2"/>
  <c r="H118" i="2"/>
  <c r="H117" i="2"/>
  <c r="H48" i="2"/>
  <c r="H47" i="2"/>
  <c r="H45" i="2"/>
  <c r="H64" i="2"/>
  <c r="H63" i="2"/>
  <c r="H62" i="2"/>
  <c r="H61" i="2"/>
  <c r="G64" i="2"/>
  <c r="G63" i="2"/>
  <c r="G62" i="2"/>
  <c r="G61" i="2"/>
  <c r="H104" i="2" l="1"/>
  <c r="H102" i="2"/>
  <c r="H101" i="2"/>
  <c r="H145" i="2" l="1"/>
  <c r="H144" i="2"/>
  <c r="H142" i="2"/>
  <c r="H141" i="2"/>
  <c r="H263" i="2" l="1"/>
  <c r="H262" i="2"/>
  <c r="H261" i="2"/>
  <c r="H265" i="2"/>
  <c r="G49" i="2" l="1"/>
  <c r="G48" i="2"/>
  <c r="G47" i="2"/>
  <c r="G45" i="2"/>
  <c r="H112" i="2"/>
  <c r="H111" i="2"/>
  <c r="H110" i="2"/>
  <c r="H109" i="2"/>
  <c r="G119" i="2"/>
  <c r="G117" i="2"/>
  <c r="G118" i="2"/>
  <c r="G120" i="2"/>
  <c r="F64" i="2"/>
  <c r="F63" i="2"/>
  <c r="F61" i="2"/>
  <c r="F62" i="2"/>
  <c r="H223" i="2" l="1"/>
  <c r="H222" i="2"/>
  <c r="H221" i="2"/>
  <c r="H9" i="2" l="1"/>
  <c r="H7" i="2"/>
  <c r="H5" i="2"/>
  <c r="G96" i="2"/>
  <c r="G95" i="2"/>
  <c r="G94" i="2"/>
  <c r="G93" i="2"/>
  <c r="H247" i="2"/>
  <c r="H246" i="2"/>
  <c r="H248" i="2"/>
  <c r="H239" i="2"/>
  <c r="H238" i="2"/>
  <c r="H237" i="2"/>
  <c r="H88" i="2" l="1"/>
  <c r="H87" i="2"/>
  <c r="H86" i="2"/>
  <c r="H85" i="2"/>
  <c r="E55" i="2"/>
  <c r="E54" i="2"/>
  <c r="E53" i="2"/>
  <c r="E135" i="2"/>
  <c r="E134" i="2"/>
  <c r="E133" i="2"/>
  <c r="G104" i="2"/>
  <c r="G103" i="2"/>
  <c r="G102" i="2"/>
  <c r="G101" i="2"/>
  <c r="H71" i="2"/>
  <c r="H70" i="2"/>
  <c r="H69" i="2"/>
  <c r="G265" i="2"/>
  <c r="G263" i="2"/>
  <c r="G262" i="2"/>
  <c r="G261" i="2"/>
  <c r="H208" i="2"/>
  <c r="H207" i="2"/>
  <c r="H206" i="2"/>
  <c r="H205" i="2"/>
  <c r="H232" i="2"/>
  <c r="H231" i="2"/>
  <c r="H230" i="2"/>
  <c r="H229" i="2"/>
  <c r="G223" i="2"/>
  <c r="G222" i="2"/>
  <c r="G221" i="2"/>
  <c r="H217" i="2"/>
  <c r="H216" i="2"/>
  <c r="H213" i="2"/>
  <c r="H184" i="2"/>
  <c r="H183" i="2"/>
  <c r="H182" i="2"/>
  <c r="H181" i="2"/>
  <c r="H169" i="2"/>
  <c r="H168" i="2"/>
  <c r="H166" i="2"/>
  <c r="H165" i="2"/>
  <c r="H176" i="2"/>
  <c r="H175" i="2"/>
  <c r="H174" i="2"/>
  <c r="H173" i="2"/>
  <c r="H25" i="2"/>
  <c r="H24" i="2"/>
  <c r="H23" i="2"/>
  <c r="H21" i="2"/>
  <c r="H161" i="2"/>
  <c r="H160" i="2"/>
  <c r="H157" i="2"/>
  <c r="G145" i="2"/>
  <c r="G143" i="2"/>
  <c r="G142" i="2"/>
  <c r="G141" i="2"/>
  <c r="G199" i="2"/>
  <c r="G198" i="2"/>
  <c r="G197" i="2"/>
  <c r="H32" i="2"/>
  <c r="H29" i="2"/>
  <c r="F49" i="2"/>
  <c r="F48" i="2"/>
  <c r="F47" i="2"/>
  <c r="F45" i="2"/>
  <c r="F120" i="2"/>
  <c r="F119" i="2"/>
  <c r="F118" i="2"/>
  <c r="F117" i="2"/>
  <c r="G112" i="2"/>
  <c r="G111" i="2"/>
  <c r="G110" i="2"/>
  <c r="G109" i="2"/>
  <c r="D61" i="2"/>
  <c r="D62" i="2"/>
  <c r="E64" i="2"/>
  <c r="E63" i="2"/>
  <c r="E62" i="2"/>
  <c r="E61" i="2"/>
  <c r="D64" i="2"/>
  <c r="D63" i="2"/>
  <c r="H79" i="2" l="1"/>
  <c r="H78" i="2"/>
  <c r="H77" i="2"/>
  <c r="F38" i="2"/>
  <c r="F39" i="2"/>
  <c r="F37" i="2"/>
  <c r="F127" i="2"/>
  <c r="F126" i="2"/>
  <c r="F125" i="2"/>
  <c r="G240" i="2" l="1"/>
  <c r="G239" i="2"/>
  <c r="G238" i="2"/>
  <c r="G237" i="2"/>
  <c r="G248" i="2"/>
  <c r="G246" i="2"/>
  <c r="G245" i="2"/>
  <c r="E48" i="2"/>
  <c r="E47" i="2"/>
  <c r="E45" i="2"/>
  <c r="G33" i="2"/>
  <c r="G32" i="2"/>
  <c r="G29" i="2"/>
  <c r="F198" i="2" l="1"/>
  <c r="G88" i="2"/>
  <c r="G87" i="2"/>
  <c r="G86" i="2"/>
  <c r="G85" i="2"/>
  <c r="D55" i="2"/>
  <c r="D54" i="2"/>
  <c r="D53" i="2"/>
  <c r="D135" i="2"/>
  <c r="D134" i="2"/>
  <c r="D133" i="2"/>
  <c r="G80" i="2"/>
  <c r="G79" i="2"/>
  <c r="G78" i="2"/>
  <c r="G77" i="2"/>
  <c r="F103" i="2"/>
  <c r="F102" i="2"/>
  <c r="F101" i="2"/>
  <c r="F16" i="2"/>
  <c r="F15" i="2"/>
  <c r="F14" i="2"/>
  <c r="F13" i="2"/>
  <c r="F199" i="2"/>
  <c r="F197" i="2"/>
  <c r="F145" i="2"/>
  <c r="F144" i="2"/>
  <c r="F143" i="2"/>
  <c r="F141" i="2"/>
  <c r="G232" i="2" l="1"/>
  <c r="G230" i="2"/>
  <c r="G229" i="2"/>
  <c r="F223" i="2"/>
  <c r="F222" i="2"/>
  <c r="F221" i="2"/>
  <c r="G208" i="2"/>
  <c r="G207" i="2"/>
  <c r="G206" i="2"/>
  <c r="G205" i="2"/>
  <c r="F265" i="2"/>
  <c r="F263" i="2"/>
  <c r="F262" i="2"/>
  <c r="F261" i="2"/>
  <c r="G215" i="2"/>
  <c r="G214" i="2"/>
  <c r="G213" i="2"/>
  <c r="G184" i="2"/>
  <c r="G183" i="2"/>
  <c r="G182" i="2"/>
  <c r="G181" i="2"/>
  <c r="G176" i="2"/>
  <c r="G175" i="2"/>
  <c r="G174" i="2"/>
  <c r="G173" i="2"/>
  <c r="G169" i="2"/>
  <c r="G168" i="2"/>
  <c r="G166" i="2"/>
  <c r="G165" i="2"/>
  <c r="G24" i="2" l="1"/>
  <c r="G25" i="2"/>
  <c r="G23" i="2"/>
  <c r="G21" i="2"/>
  <c r="G160" i="2"/>
  <c r="G161" i="2"/>
  <c r="G158" i="2"/>
  <c r="F239" i="2" l="1"/>
  <c r="F238" i="2"/>
  <c r="F237" i="2"/>
  <c r="F247" i="2"/>
  <c r="F246" i="2"/>
  <c r="F245" i="2"/>
  <c r="F88" i="2" l="1"/>
  <c r="F87" i="2"/>
  <c r="F86" i="2"/>
  <c r="F85" i="2"/>
  <c r="E144" i="2"/>
  <c r="E143" i="2"/>
  <c r="E142" i="2"/>
  <c r="E141" i="2"/>
  <c r="E104" i="2"/>
  <c r="E103" i="2"/>
  <c r="E102" i="2"/>
  <c r="E16" i="2"/>
  <c r="E15" i="2"/>
  <c r="E14" i="2"/>
  <c r="E13" i="2"/>
  <c r="F79" i="2"/>
  <c r="F78" i="2"/>
  <c r="F77" i="2"/>
  <c r="F7" i="2" l="1"/>
  <c r="F6" i="2"/>
  <c r="F5" i="2"/>
  <c r="F71" i="2"/>
  <c r="F70" i="2"/>
  <c r="F69" i="2"/>
  <c r="F208" i="2" l="1"/>
  <c r="F207" i="2"/>
  <c r="F206" i="2"/>
  <c r="F205" i="2"/>
  <c r="E265" i="2"/>
  <c r="E263" i="2"/>
  <c r="E262" i="2"/>
  <c r="E261" i="2"/>
  <c r="F217" i="2"/>
  <c r="F214" i="2"/>
  <c r="F213" i="2"/>
  <c r="F229" i="2"/>
  <c r="F231" i="2"/>
  <c r="F232" i="2"/>
  <c r="F230" i="2"/>
  <c r="F185" i="2"/>
  <c r="F184" i="2"/>
  <c r="F183" i="2"/>
  <c r="F182" i="2"/>
  <c r="F176" i="2"/>
  <c r="F174" i="2"/>
  <c r="F169" i="2"/>
  <c r="F168" i="2"/>
  <c r="F165" i="2"/>
  <c r="F166" i="2"/>
  <c r="F175" i="2"/>
  <c r="F173" i="2"/>
  <c r="F24" i="2"/>
  <c r="F23" i="2"/>
  <c r="F21" i="2"/>
  <c r="F25" i="2"/>
  <c r="F160" i="2"/>
  <c r="F159" i="2"/>
  <c r="F158" i="2"/>
  <c r="E41" i="2"/>
  <c r="E39" i="2"/>
  <c r="E37" i="2"/>
  <c r="D48" i="2" l="1"/>
  <c r="D47" i="2"/>
  <c r="D46" i="2"/>
  <c r="F31" i="2"/>
  <c r="F30" i="2"/>
  <c r="F29" i="2"/>
  <c r="F112" i="2"/>
  <c r="F111" i="2"/>
  <c r="F110" i="2"/>
  <c r="F109" i="2"/>
  <c r="E120" i="2"/>
  <c r="E119" i="2"/>
  <c r="E118" i="2"/>
  <c r="E117" i="2"/>
  <c r="C135" i="2" l="1"/>
  <c r="C134" i="2"/>
  <c r="C133" i="2"/>
  <c r="C55" i="2"/>
  <c r="C54" i="2"/>
  <c r="C53" i="2"/>
  <c r="D16" i="2"/>
  <c r="D15" i="2"/>
  <c r="D14" i="2"/>
  <c r="D13" i="2"/>
  <c r="E9" i="2"/>
  <c r="E6" i="2"/>
  <c r="E5" i="2"/>
  <c r="E199" i="2"/>
  <c r="E198" i="2"/>
  <c r="E197" i="2"/>
  <c r="F96" i="2"/>
  <c r="F95" i="2"/>
  <c r="F94" i="2"/>
  <c r="F93" i="2"/>
  <c r="E240" i="2" l="1"/>
  <c r="E238" i="2"/>
  <c r="E237" i="2"/>
  <c r="E246" i="2"/>
  <c r="E248" i="2"/>
  <c r="E247" i="2"/>
  <c r="E88" i="2"/>
  <c r="E87" i="2"/>
  <c r="E86" i="2"/>
  <c r="E85" i="2"/>
  <c r="E80" i="2"/>
  <c r="E79" i="2"/>
  <c r="E77" i="2"/>
  <c r="D104" i="2"/>
  <c r="D103" i="2"/>
  <c r="D102" i="2"/>
  <c r="D101" i="2"/>
  <c r="E25" i="2"/>
  <c r="E24" i="2"/>
  <c r="E23" i="2"/>
  <c r="E21" i="2"/>
  <c r="F152" i="2" l="1"/>
  <c r="F151" i="2"/>
  <c r="F150" i="2"/>
  <c r="F149" i="2"/>
  <c r="D145" i="2"/>
  <c r="D144" i="2"/>
  <c r="D142" i="2"/>
  <c r="D141" i="2"/>
  <c r="E230" i="2"/>
  <c r="E232" i="2"/>
  <c r="E229" i="2"/>
  <c r="E231" i="2"/>
  <c r="D265" i="2"/>
  <c r="D264" i="2"/>
  <c r="D263" i="2"/>
  <c r="D262" i="2"/>
  <c r="E208" i="2"/>
  <c r="E207" i="2"/>
  <c r="E206" i="2"/>
  <c r="E205" i="2"/>
  <c r="E215" i="2"/>
  <c r="E214" i="2"/>
  <c r="E213" i="2"/>
  <c r="E223" i="2"/>
  <c r="E222" i="2"/>
  <c r="E221" i="2"/>
  <c r="E176" i="2"/>
  <c r="E175" i="2"/>
  <c r="E174" i="2"/>
  <c r="E173" i="2"/>
  <c r="E169" i="2"/>
  <c r="E168" i="2"/>
  <c r="E167" i="2"/>
  <c r="E166" i="2"/>
  <c r="E184" i="2"/>
  <c r="E183" i="2"/>
  <c r="E181" i="2"/>
  <c r="E161" i="2"/>
  <c r="E160" i="2"/>
  <c r="E158" i="2"/>
  <c r="E157" i="2"/>
  <c r="E127" i="2"/>
  <c r="E126" i="2"/>
  <c r="E125" i="2"/>
  <c r="E112" i="2"/>
  <c r="E111" i="2"/>
  <c r="E110" i="2"/>
  <c r="E109" i="2"/>
  <c r="D120" i="2"/>
  <c r="D119" i="2"/>
  <c r="D118" i="2"/>
  <c r="D117" i="2"/>
  <c r="E32" i="2"/>
  <c r="E29" i="2"/>
  <c r="E30" i="2"/>
  <c r="D9" i="2" l="1"/>
  <c r="D7" i="2"/>
  <c r="D5" i="2"/>
  <c r="C64" i="2"/>
  <c r="C63" i="2"/>
  <c r="C62" i="2"/>
  <c r="C61" i="2"/>
  <c r="E96" i="2"/>
  <c r="E95" i="2"/>
  <c r="E94" i="2"/>
  <c r="E93" i="2"/>
  <c r="E71" i="2" l="1"/>
  <c r="E70" i="2"/>
  <c r="E69" i="2"/>
  <c r="D238" i="2"/>
  <c r="D237" i="2"/>
  <c r="D239" i="2"/>
  <c r="D248" i="2"/>
  <c r="D246" i="2"/>
  <c r="D245" i="2"/>
  <c r="C255" i="2"/>
  <c r="C254" i="2"/>
  <c r="C253" i="2"/>
  <c r="C29" i="9" l="1"/>
  <c r="E152" i="2" l="1"/>
  <c r="E151" i="2"/>
  <c r="E150" i="2"/>
  <c r="E149" i="2"/>
  <c r="D149" i="2"/>
  <c r="D96" i="2"/>
  <c r="D95" i="2"/>
  <c r="D94" i="2"/>
  <c r="D93" i="2"/>
  <c r="D199" i="2"/>
  <c r="D198" i="2"/>
  <c r="D197" i="2"/>
  <c r="D88" i="2"/>
  <c r="D87" i="2"/>
  <c r="D86" i="2"/>
  <c r="D85" i="2"/>
  <c r="D80" i="2"/>
  <c r="D79" i="2"/>
  <c r="D77" i="2"/>
  <c r="C103" i="2"/>
  <c r="C102" i="2"/>
  <c r="C101" i="2"/>
  <c r="D127" i="2"/>
  <c r="D126" i="2"/>
  <c r="D125" i="2"/>
  <c r="C127" i="2"/>
  <c r="C126" i="2"/>
  <c r="C125" i="2"/>
  <c r="D71" i="2"/>
  <c r="D70" i="2"/>
  <c r="D69" i="2"/>
  <c r="C88" i="2" l="1"/>
  <c r="C87" i="2"/>
  <c r="C86" i="2"/>
  <c r="C85" i="2"/>
  <c r="D232" i="2"/>
  <c r="D230" i="2"/>
  <c r="D229" i="2"/>
  <c r="D231" i="2"/>
  <c r="D208" i="2"/>
  <c r="D207" i="2"/>
  <c r="D206" i="2"/>
  <c r="D205" i="2"/>
  <c r="C264" i="2"/>
  <c r="C263" i="2"/>
  <c r="C262" i="2"/>
  <c r="C261" i="2"/>
  <c r="D225" i="2"/>
  <c r="D224" i="2"/>
  <c r="D222" i="2"/>
  <c r="D216" i="2"/>
  <c r="D214" i="2"/>
  <c r="D213" i="2"/>
  <c r="D25" i="2"/>
  <c r="D24" i="2"/>
  <c r="D23" i="2"/>
  <c r="D21" i="2"/>
  <c r="C145" i="2"/>
  <c r="C143" i="2"/>
  <c r="C142" i="2"/>
  <c r="C141" i="2"/>
  <c r="D184" i="2"/>
  <c r="D183" i="2"/>
  <c r="D182" i="2"/>
  <c r="D181" i="2"/>
  <c r="D168" i="2"/>
  <c r="D167" i="2"/>
  <c r="D166" i="2"/>
  <c r="D165" i="2"/>
  <c r="D176" i="2"/>
  <c r="D175" i="2"/>
  <c r="D174" i="2"/>
  <c r="D173" i="2"/>
  <c r="D161" i="2"/>
  <c r="D160" i="2"/>
  <c r="D158" i="2"/>
  <c r="D157" i="2"/>
  <c r="C47" i="2" l="1"/>
  <c r="C46" i="2"/>
  <c r="C45" i="2"/>
  <c r="D32" i="2"/>
  <c r="D30" i="2"/>
  <c r="D29" i="2"/>
  <c r="D112" i="2"/>
  <c r="D111" i="2"/>
  <c r="D110" i="2"/>
  <c r="D109" i="2"/>
  <c r="C16" i="2" l="1"/>
  <c r="C15" i="2"/>
  <c r="C14" i="2"/>
  <c r="C13" i="2"/>
  <c r="C239" i="2"/>
  <c r="C247" i="2"/>
  <c r="C246" i="2"/>
  <c r="C245" i="2"/>
  <c r="C238" i="2"/>
  <c r="C237" i="2"/>
  <c r="D152" i="2" l="1"/>
  <c r="D151" i="2"/>
  <c r="D150" i="2"/>
  <c r="C71" i="2" l="1"/>
  <c r="C70" i="2"/>
  <c r="C69" i="2"/>
  <c r="C96" i="2" l="1"/>
  <c r="C95" i="2"/>
  <c r="C94" i="2"/>
  <c r="C93" i="2"/>
  <c r="C39" i="2" l="1"/>
  <c r="C79" i="2"/>
  <c r="C78" i="2"/>
  <c r="C77" i="2"/>
  <c r="C7" i="2"/>
  <c r="C6" i="2"/>
  <c r="C5" i="2"/>
  <c r="I5" i="2" s="1"/>
  <c r="C208" i="2"/>
  <c r="C207" i="2"/>
  <c r="C206" i="2"/>
  <c r="C205" i="2"/>
  <c r="C232" i="2"/>
  <c r="C231" i="2"/>
  <c r="C230" i="2"/>
  <c r="C229" i="2"/>
  <c r="C213" i="2"/>
  <c r="C214" i="2"/>
  <c r="C215" i="2"/>
  <c r="C223" i="2"/>
  <c r="C222" i="2"/>
  <c r="C221" i="2"/>
  <c r="C184" i="2"/>
  <c r="C183" i="2"/>
  <c r="C182" i="2"/>
  <c r="C181" i="2"/>
  <c r="C168" i="2"/>
  <c r="C167" i="2"/>
  <c r="C166" i="2"/>
  <c r="C165" i="2"/>
  <c r="C176" i="2"/>
  <c r="C175" i="2"/>
  <c r="C174" i="2"/>
  <c r="C173" i="2"/>
  <c r="C25" i="2"/>
  <c r="C24" i="2"/>
  <c r="C23" i="2"/>
  <c r="C21" i="2"/>
  <c r="C160" i="2"/>
  <c r="C159" i="2"/>
  <c r="C157" i="2"/>
  <c r="C152" i="2"/>
  <c r="C151" i="2"/>
  <c r="C150" i="2"/>
  <c r="C149" i="2"/>
  <c r="C197" i="2"/>
  <c r="C198" i="2"/>
  <c r="C199" i="2"/>
  <c r="C32" i="2" l="1"/>
  <c r="C31" i="2"/>
  <c r="C30" i="2"/>
  <c r="C29" i="2"/>
  <c r="C112" i="2"/>
  <c r="C111" i="2"/>
  <c r="C110" i="2"/>
  <c r="C109" i="2"/>
  <c r="C120" i="2"/>
  <c r="C119" i="2"/>
  <c r="C118" i="2"/>
  <c r="C117" i="2"/>
  <c r="C22" i="9" l="1"/>
  <c r="C8" i="9"/>
  <c r="C30" i="9"/>
  <c r="C31" i="9"/>
  <c r="C27" i="9"/>
  <c r="C21" i="9"/>
  <c r="C24" i="9"/>
  <c r="C37" i="9"/>
  <c r="C5" i="9"/>
  <c r="C28" i="9"/>
  <c r="C33" i="9"/>
  <c r="C36" i="9"/>
  <c r="C34" i="9"/>
  <c r="C20" i="9"/>
  <c r="C35" i="9"/>
  <c r="C32" i="9"/>
  <c r="C38" i="9"/>
  <c r="C39" i="9"/>
  <c r="C40" i="9"/>
  <c r="C41" i="9"/>
  <c r="C42" i="9"/>
  <c r="C43" i="9"/>
  <c r="C44" i="9"/>
  <c r="B44" i="9"/>
  <c r="B43" i="9"/>
  <c r="B42" i="9"/>
  <c r="B41" i="9"/>
  <c r="B40" i="9"/>
  <c r="B39" i="9"/>
  <c r="B38" i="9"/>
  <c r="B32" i="9"/>
  <c r="B35" i="9"/>
  <c r="B29" i="9"/>
  <c r="B20" i="9"/>
  <c r="B34" i="9"/>
  <c r="B36" i="9"/>
  <c r="B33" i="9"/>
  <c r="B28" i="9"/>
  <c r="B5" i="9"/>
  <c r="B37" i="9"/>
  <c r="B24" i="9"/>
  <c r="B21" i="9"/>
  <c r="B27" i="9"/>
  <c r="B31" i="9"/>
  <c r="B30" i="9"/>
  <c r="B8" i="9"/>
  <c r="B22" i="9"/>
  <c r="C10" i="9"/>
  <c r="C13" i="9"/>
  <c r="C15" i="9"/>
  <c r="C18" i="9"/>
  <c r="C17" i="9"/>
  <c r="B18" i="9"/>
  <c r="B15" i="9"/>
  <c r="B13" i="9"/>
  <c r="B10" i="9"/>
  <c r="C14" i="9"/>
  <c r="C23" i="9"/>
  <c r="C9" i="9"/>
  <c r="C16" i="9"/>
  <c r="C25" i="9"/>
  <c r="C11" i="9"/>
  <c r="B11" i="9"/>
  <c r="B25" i="9"/>
  <c r="B16" i="9"/>
  <c r="B9" i="9"/>
  <c r="B23" i="9"/>
  <c r="B14" i="9"/>
  <c r="C12" i="9"/>
  <c r="C6" i="9"/>
  <c r="C19" i="9"/>
  <c r="C26" i="9"/>
  <c r="B26" i="9"/>
  <c r="B6" i="9"/>
  <c r="B12" i="9"/>
  <c r="C7" i="9"/>
  <c r="B7" i="9"/>
  <c r="B173" i="5"/>
  <c r="C173" i="5"/>
  <c r="B174" i="5"/>
  <c r="C174" i="5"/>
  <c r="B205" i="5"/>
  <c r="C205" i="5"/>
  <c r="B202" i="5"/>
  <c r="C202" i="5"/>
  <c r="B163" i="5"/>
  <c r="C163" i="5"/>
  <c r="B164" i="5"/>
  <c r="C164" i="5"/>
  <c r="B165" i="5"/>
  <c r="C165" i="5"/>
  <c r="B166" i="5"/>
  <c r="C166" i="5"/>
  <c r="B203" i="5"/>
  <c r="C203" i="5"/>
  <c r="B167" i="5"/>
  <c r="C167" i="5"/>
  <c r="B168" i="5"/>
  <c r="C168" i="5"/>
  <c r="B169" i="5"/>
  <c r="C169" i="5"/>
  <c r="B170" i="5"/>
  <c r="C170" i="5"/>
  <c r="B204" i="5"/>
  <c r="C204" i="5"/>
  <c r="B171" i="5"/>
  <c r="C171" i="5"/>
  <c r="B172" i="5"/>
  <c r="C172" i="5"/>
  <c r="B13" i="5"/>
  <c r="C13" i="5"/>
  <c r="B28" i="5"/>
  <c r="C28" i="5"/>
  <c r="B176" i="5"/>
  <c r="C176" i="5"/>
  <c r="B34" i="5"/>
  <c r="C34" i="5"/>
  <c r="B115" i="5"/>
  <c r="C115" i="5"/>
  <c r="B114" i="5"/>
  <c r="C114" i="5"/>
  <c r="B116" i="5"/>
  <c r="C116" i="5"/>
  <c r="B113" i="5"/>
  <c r="C113" i="5"/>
  <c r="B177" i="5"/>
  <c r="C177" i="5"/>
  <c r="B40" i="5"/>
  <c r="C40" i="5"/>
  <c r="B178" i="5"/>
  <c r="C178" i="5"/>
  <c r="B7" i="5"/>
  <c r="C7" i="5"/>
  <c r="B8" i="5"/>
  <c r="C8" i="5"/>
  <c r="B27" i="5"/>
  <c r="C27" i="5"/>
  <c r="C64" i="5"/>
  <c r="C133" i="5"/>
  <c r="C132" i="5"/>
  <c r="C67" i="5"/>
  <c r="B70" i="5"/>
  <c r="C70" i="5"/>
  <c r="B107" i="5"/>
  <c r="C107" i="5"/>
  <c r="B50" i="5"/>
  <c r="C50" i="5"/>
  <c r="B30" i="5"/>
  <c r="C30" i="5"/>
  <c r="B131" i="5"/>
  <c r="C131" i="5"/>
  <c r="B108" i="5"/>
  <c r="C108" i="5"/>
  <c r="B25" i="5"/>
  <c r="C25" i="5"/>
  <c r="B134" i="5"/>
  <c r="C134" i="5"/>
  <c r="B21" i="5"/>
  <c r="C21" i="5"/>
  <c r="B66" i="5"/>
  <c r="C66" i="5"/>
  <c r="B135" i="5"/>
  <c r="C135" i="5"/>
  <c r="B47" i="5"/>
  <c r="C47" i="5"/>
  <c r="B48" i="5"/>
  <c r="C48" i="5"/>
  <c r="B94" i="5"/>
  <c r="C94" i="5"/>
  <c r="B142" i="5"/>
  <c r="C142" i="5"/>
  <c r="B179" i="5"/>
  <c r="C179" i="5"/>
  <c r="B38" i="5"/>
  <c r="C38" i="5"/>
  <c r="B20" i="5"/>
  <c r="C20" i="5"/>
  <c r="B18" i="5"/>
  <c r="C18" i="5"/>
  <c r="B19" i="5"/>
  <c r="C19" i="5"/>
  <c r="B180" i="5"/>
  <c r="C180" i="5"/>
  <c r="B37" i="5"/>
  <c r="C37" i="5"/>
  <c r="B55" i="5"/>
  <c r="C55" i="5"/>
  <c r="B53" i="5"/>
  <c r="C53" i="5"/>
  <c r="B181" i="5"/>
  <c r="C181" i="5"/>
  <c r="B182" i="5"/>
  <c r="C182" i="5"/>
  <c r="B86" i="5"/>
  <c r="C86" i="5"/>
  <c r="B136" i="5"/>
  <c r="C136" i="5"/>
  <c r="B35" i="5"/>
  <c r="C35" i="5"/>
  <c r="B82" i="5"/>
  <c r="C82" i="5"/>
  <c r="B183" i="5"/>
  <c r="C183" i="5"/>
  <c r="B41" i="5"/>
  <c r="C41" i="5"/>
  <c r="B60" i="5"/>
  <c r="C60" i="5"/>
  <c r="B58" i="5"/>
  <c r="C58" i="5"/>
  <c r="B14" i="5"/>
  <c r="C14" i="5"/>
  <c r="B184" i="5"/>
  <c r="C184" i="5"/>
  <c r="B33" i="5"/>
  <c r="C33" i="5"/>
  <c r="B12" i="5"/>
  <c r="C12" i="5"/>
  <c r="B29" i="5"/>
  <c r="C29" i="5"/>
  <c r="B54" i="5"/>
  <c r="C54" i="5"/>
  <c r="B185" i="5"/>
  <c r="C185" i="5"/>
  <c r="B15" i="5"/>
  <c r="C15" i="5"/>
  <c r="B24" i="5"/>
  <c r="C24" i="5"/>
  <c r="B56" i="5"/>
  <c r="C56" i="5"/>
  <c r="B42" i="5"/>
  <c r="C42" i="5"/>
  <c r="B186" i="5"/>
  <c r="C186" i="5"/>
  <c r="B44" i="5"/>
  <c r="C44" i="5"/>
  <c r="B65" i="5"/>
  <c r="C65" i="5"/>
  <c r="B26" i="5"/>
  <c r="C26" i="5"/>
  <c r="B57" i="5"/>
  <c r="C57" i="5"/>
  <c r="B187" i="5"/>
  <c r="C187" i="5"/>
  <c r="B78" i="5"/>
  <c r="C78" i="5"/>
  <c r="B62" i="5"/>
  <c r="C62" i="5"/>
  <c r="B17" i="5"/>
  <c r="C17" i="5"/>
  <c r="B74" i="5"/>
  <c r="C74" i="5"/>
  <c r="B188" i="5"/>
  <c r="C188" i="5"/>
  <c r="B39" i="5"/>
  <c r="C39" i="5"/>
  <c r="B68" i="5"/>
  <c r="C68" i="5"/>
  <c r="B52" i="5"/>
  <c r="C52" i="5"/>
  <c r="B130" i="5"/>
  <c r="C130" i="5"/>
  <c r="B189" i="5"/>
  <c r="C189" i="5"/>
  <c r="B76" i="5"/>
  <c r="C76" i="5"/>
  <c r="B31" i="5"/>
  <c r="C31" i="5"/>
  <c r="B81" i="5"/>
  <c r="C81" i="5"/>
  <c r="B175" i="5"/>
  <c r="C175" i="5"/>
  <c r="B190" i="5"/>
  <c r="C190" i="5"/>
  <c r="B45" i="5"/>
  <c r="C45" i="5"/>
  <c r="B32" i="5"/>
  <c r="C32" i="5"/>
  <c r="B22" i="5"/>
  <c r="C22" i="5"/>
  <c r="B6" i="5"/>
  <c r="C6" i="5"/>
  <c r="B69" i="5"/>
  <c r="C69" i="5"/>
  <c r="B101" i="5"/>
  <c r="C101" i="5"/>
  <c r="B87" i="5"/>
  <c r="C87" i="5"/>
  <c r="B89" i="5"/>
  <c r="C89" i="5"/>
  <c r="B100" i="5"/>
  <c r="C100" i="5"/>
  <c r="B191" i="5"/>
  <c r="C191" i="5"/>
  <c r="B97" i="5"/>
  <c r="C97" i="5"/>
  <c r="B104" i="5"/>
  <c r="C104" i="5"/>
  <c r="B91" i="5"/>
  <c r="C91" i="5"/>
  <c r="B99" i="5"/>
  <c r="C99" i="5"/>
  <c r="B49" i="5"/>
  <c r="C49" i="5"/>
  <c r="B92" i="5"/>
  <c r="C92" i="5"/>
  <c r="B36" i="5"/>
  <c r="C36" i="5"/>
  <c r="B72" i="5"/>
  <c r="C72" i="5"/>
  <c r="B93" i="5"/>
  <c r="C93" i="5"/>
  <c r="B59" i="5"/>
  <c r="C59" i="5"/>
  <c r="B79" i="5"/>
  <c r="C79" i="5"/>
  <c r="B77" i="5"/>
  <c r="C77" i="5"/>
  <c r="B51" i="5"/>
  <c r="C51" i="5"/>
  <c r="B46" i="5"/>
  <c r="C46" i="5"/>
  <c r="B23" i="5"/>
  <c r="C23" i="5"/>
  <c r="B43" i="5"/>
  <c r="C43" i="5"/>
  <c r="B73" i="5"/>
  <c r="C73" i="5"/>
  <c r="B83" i="5"/>
  <c r="C83" i="5"/>
  <c r="B85" i="5"/>
  <c r="C85" i="5"/>
  <c r="B61" i="5"/>
  <c r="C61" i="5"/>
  <c r="B143" i="5"/>
  <c r="C143" i="5"/>
  <c r="B144" i="5"/>
  <c r="C144" i="5"/>
  <c r="B145" i="5"/>
  <c r="C145" i="5"/>
  <c r="B146" i="5"/>
  <c r="C146" i="5"/>
  <c r="B192" i="5"/>
  <c r="C192" i="5"/>
  <c r="B9" i="5"/>
  <c r="C9" i="5"/>
  <c r="B10" i="5"/>
  <c r="C10" i="5"/>
  <c r="B11" i="5"/>
  <c r="C11" i="5"/>
  <c r="B193" i="5"/>
  <c r="C193" i="5"/>
  <c r="B194" i="5"/>
  <c r="C194" i="5"/>
  <c r="B102" i="5"/>
  <c r="C102" i="5"/>
  <c r="B90" i="5"/>
  <c r="C90" i="5"/>
  <c r="B71" i="5"/>
  <c r="C71" i="5"/>
  <c r="B111" i="5"/>
  <c r="C111" i="5"/>
  <c r="B105" i="5"/>
  <c r="C105" i="5"/>
  <c r="B120" i="5"/>
  <c r="C120" i="5"/>
  <c r="B117" i="5"/>
  <c r="C117" i="5"/>
  <c r="B122" i="5"/>
  <c r="C122" i="5"/>
  <c r="B125" i="5"/>
  <c r="C125" i="5"/>
  <c r="B139" i="5"/>
  <c r="C139" i="5"/>
  <c r="B123" i="5"/>
  <c r="C123" i="5"/>
  <c r="B128" i="5"/>
  <c r="C128" i="5"/>
  <c r="B126" i="5"/>
  <c r="C126" i="5"/>
  <c r="B119" i="5"/>
  <c r="C119" i="5"/>
  <c r="B140" i="5"/>
  <c r="C140" i="5"/>
  <c r="B121" i="5"/>
  <c r="C121" i="5"/>
  <c r="B127" i="5"/>
  <c r="C127" i="5"/>
  <c r="B118" i="5"/>
  <c r="C118" i="5"/>
  <c r="B124" i="5"/>
  <c r="C124" i="5"/>
  <c r="B195" i="5"/>
  <c r="C195" i="5"/>
  <c r="B80" i="5"/>
  <c r="C80" i="5"/>
  <c r="B63" i="5"/>
  <c r="C63" i="5"/>
  <c r="B84" i="5"/>
  <c r="C84" i="5"/>
  <c r="B88" i="5"/>
  <c r="C88" i="5"/>
  <c r="B196" i="5"/>
  <c r="C196" i="5"/>
  <c r="B129" i="5"/>
  <c r="C129" i="5"/>
  <c r="B98" i="5"/>
  <c r="C98" i="5"/>
  <c r="B103" i="5"/>
  <c r="C103" i="5"/>
  <c r="B75" i="5"/>
  <c r="C75" i="5"/>
  <c r="B96" i="5"/>
  <c r="C96" i="5"/>
  <c r="B141" i="5"/>
  <c r="C141" i="5"/>
  <c r="B137" i="5"/>
  <c r="C137" i="5"/>
  <c r="B138" i="5"/>
  <c r="C138" i="5"/>
  <c r="B197" i="5"/>
  <c r="C197" i="5"/>
  <c r="B198" i="5"/>
  <c r="C198" i="5"/>
  <c r="B106" i="5"/>
  <c r="C106" i="5"/>
  <c r="B112" i="5"/>
  <c r="C112" i="5"/>
  <c r="B95" i="5"/>
  <c r="C95" i="5"/>
  <c r="B110" i="5"/>
  <c r="C110" i="5"/>
  <c r="B109" i="5"/>
  <c r="C109" i="5"/>
  <c r="B147" i="5"/>
  <c r="C147" i="5"/>
  <c r="B148" i="5"/>
  <c r="C148" i="5"/>
  <c r="B149" i="5"/>
  <c r="C149" i="5"/>
  <c r="B150" i="5"/>
  <c r="C150" i="5"/>
  <c r="B199" i="5"/>
  <c r="C199" i="5"/>
  <c r="B151" i="5"/>
  <c r="C151" i="5"/>
  <c r="B152" i="5"/>
  <c r="C152" i="5"/>
  <c r="B153" i="5"/>
  <c r="C153" i="5"/>
  <c r="B154" i="5"/>
  <c r="C154" i="5"/>
  <c r="B200" i="5"/>
  <c r="C200" i="5"/>
  <c r="B155" i="5"/>
  <c r="C155" i="5"/>
  <c r="B156" i="5"/>
  <c r="C156" i="5"/>
  <c r="B157" i="5"/>
  <c r="C157" i="5"/>
  <c r="B158" i="5"/>
  <c r="C158" i="5"/>
  <c r="B201" i="5"/>
  <c r="C201" i="5"/>
  <c r="B159" i="5"/>
  <c r="C159" i="5"/>
  <c r="B160" i="5"/>
  <c r="C160" i="5"/>
  <c r="B161" i="5"/>
  <c r="C161" i="5"/>
  <c r="B162" i="5"/>
  <c r="C162" i="5"/>
  <c r="B16" i="5"/>
  <c r="C16" i="5"/>
  <c r="I81" i="2"/>
  <c r="I80" i="2"/>
  <c r="I79" i="2"/>
  <c r="I78" i="2"/>
  <c r="I77" i="2"/>
  <c r="R321" i="2"/>
  <c r="I321" i="2"/>
  <c r="R320" i="2"/>
  <c r="I320" i="2"/>
  <c r="R319" i="2"/>
  <c r="I319" i="2"/>
  <c r="R318" i="2"/>
  <c r="I318" i="2"/>
  <c r="R317" i="2"/>
  <c r="I317" i="2"/>
  <c r="R313" i="2"/>
  <c r="I313" i="2"/>
  <c r="R312" i="2"/>
  <c r="I312" i="2"/>
  <c r="R311" i="2"/>
  <c r="I311" i="2"/>
  <c r="R310" i="2"/>
  <c r="I310" i="2"/>
  <c r="R309" i="2"/>
  <c r="I309" i="2"/>
  <c r="R305" i="2"/>
  <c r="I305" i="2"/>
  <c r="R304" i="2"/>
  <c r="I304" i="2"/>
  <c r="R303" i="2"/>
  <c r="I303" i="2"/>
  <c r="R302" i="2"/>
  <c r="I302" i="2"/>
  <c r="R301" i="2"/>
  <c r="I301" i="2"/>
  <c r="R297" i="2"/>
  <c r="I297" i="2"/>
  <c r="R296" i="2"/>
  <c r="I296" i="2"/>
  <c r="R295" i="2"/>
  <c r="I295" i="2"/>
  <c r="R294" i="2"/>
  <c r="I294" i="2"/>
  <c r="R293" i="2"/>
  <c r="I293" i="2"/>
  <c r="R289" i="2"/>
  <c r="I289" i="2"/>
  <c r="R288" i="2"/>
  <c r="I288" i="2"/>
  <c r="R287" i="2"/>
  <c r="I287" i="2"/>
  <c r="R286" i="2"/>
  <c r="I286" i="2"/>
  <c r="R285" i="2"/>
  <c r="I285" i="2"/>
  <c r="R281" i="2"/>
  <c r="I281" i="2"/>
  <c r="R280" i="2"/>
  <c r="I280" i="2"/>
  <c r="R279" i="2"/>
  <c r="I279" i="2"/>
  <c r="R278" i="2"/>
  <c r="I278" i="2"/>
  <c r="R277" i="2"/>
  <c r="I277" i="2"/>
  <c r="R273" i="2"/>
  <c r="I273" i="2"/>
  <c r="R272" i="2"/>
  <c r="I272" i="2"/>
  <c r="R271" i="2"/>
  <c r="I271" i="2"/>
  <c r="R270" i="2"/>
  <c r="I270" i="2"/>
  <c r="R269" i="2"/>
  <c r="I269" i="2"/>
  <c r="I265" i="2"/>
  <c r="I264" i="2"/>
  <c r="I263" i="2"/>
  <c r="I262" i="2"/>
  <c r="I261" i="2"/>
  <c r="I257" i="2"/>
  <c r="I256" i="2"/>
  <c r="I255" i="2"/>
  <c r="I254" i="2"/>
  <c r="I253" i="2"/>
  <c r="I249" i="2"/>
  <c r="I248" i="2"/>
  <c r="I247" i="2"/>
  <c r="I246" i="2"/>
  <c r="I245" i="2"/>
  <c r="I241" i="2"/>
  <c r="I240" i="2"/>
  <c r="I239" i="2"/>
  <c r="I238" i="2"/>
  <c r="I237" i="2"/>
  <c r="I233" i="2"/>
  <c r="I232" i="2"/>
  <c r="I231" i="2"/>
  <c r="I230" i="2"/>
  <c r="I229" i="2"/>
  <c r="I225" i="2"/>
  <c r="I224" i="2"/>
  <c r="I223" i="2"/>
  <c r="I222" i="2"/>
  <c r="I221" i="2"/>
  <c r="I217" i="2"/>
  <c r="I216" i="2"/>
  <c r="I215" i="2"/>
  <c r="I214" i="2"/>
  <c r="I213" i="2"/>
  <c r="I209" i="2"/>
  <c r="I208" i="2"/>
  <c r="I207" i="2"/>
  <c r="I206" i="2"/>
  <c r="I205" i="2"/>
  <c r="I201" i="2"/>
  <c r="I200" i="2"/>
  <c r="I199" i="2"/>
  <c r="I198" i="2"/>
  <c r="I197" i="2"/>
  <c r="I193" i="2"/>
  <c r="I192" i="2"/>
  <c r="I191" i="2"/>
  <c r="I190" i="2"/>
  <c r="I189" i="2"/>
  <c r="I185" i="2"/>
  <c r="I184" i="2"/>
  <c r="I183" i="2"/>
  <c r="I182" i="2"/>
  <c r="I181" i="2"/>
  <c r="I177" i="2"/>
  <c r="I176" i="2"/>
  <c r="I175" i="2"/>
  <c r="I174" i="2"/>
  <c r="I173" i="2"/>
  <c r="I169" i="2"/>
  <c r="I168" i="2"/>
  <c r="I167" i="2"/>
  <c r="I166" i="2"/>
  <c r="I165" i="2"/>
  <c r="I161" i="2"/>
  <c r="I160" i="2"/>
  <c r="I159" i="2"/>
  <c r="I158" i="2"/>
  <c r="I157" i="2"/>
  <c r="I153" i="2"/>
  <c r="I152" i="2"/>
  <c r="I151" i="2"/>
  <c r="I150" i="2"/>
  <c r="I149" i="2"/>
  <c r="I145" i="2"/>
  <c r="I144" i="2"/>
  <c r="I143" i="2"/>
  <c r="I142" i="2"/>
  <c r="I141" i="2"/>
  <c r="I137" i="2"/>
  <c r="I136" i="2"/>
  <c r="I135" i="2"/>
  <c r="I134" i="2"/>
  <c r="I133" i="2"/>
  <c r="I129" i="2"/>
  <c r="I128" i="2"/>
  <c r="I127" i="2"/>
  <c r="I126" i="2"/>
  <c r="I125" i="2"/>
  <c r="I121" i="2"/>
  <c r="I120" i="2"/>
  <c r="I119" i="2"/>
  <c r="I118" i="2"/>
  <c r="I117" i="2"/>
  <c r="I113" i="2"/>
  <c r="I112" i="2"/>
  <c r="I111" i="2"/>
  <c r="I110" i="2"/>
  <c r="I109" i="2"/>
  <c r="I105" i="2"/>
  <c r="I104" i="2"/>
  <c r="I103" i="2"/>
  <c r="I102" i="2"/>
  <c r="I101" i="2"/>
  <c r="I97" i="2"/>
  <c r="I96" i="2"/>
  <c r="I95" i="2"/>
  <c r="I94" i="2"/>
  <c r="I93" i="2"/>
  <c r="I89" i="2"/>
  <c r="I88" i="2"/>
  <c r="I87" i="2"/>
  <c r="I86" i="2"/>
  <c r="I85" i="2"/>
  <c r="I73" i="2"/>
  <c r="I72" i="2"/>
  <c r="I71" i="2"/>
  <c r="I70" i="2"/>
  <c r="I69" i="2"/>
  <c r="I65" i="2"/>
  <c r="I64" i="2"/>
  <c r="I63" i="2"/>
  <c r="I62" i="2"/>
  <c r="I61" i="2"/>
  <c r="I57" i="2"/>
  <c r="I56" i="2"/>
  <c r="I55" i="2"/>
  <c r="I54" i="2"/>
  <c r="I53" i="2"/>
  <c r="I49" i="2"/>
  <c r="I48" i="2"/>
  <c r="I47" i="2"/>
  <c r="I46" i="2"/>
  <c r="I45" i="2"/>
  <c r="I41" i="2"/>
  <c r="I40" i="2"/>
  <c r="I39" i="2"/>
  <c r="I38" i="2"/>
  <c r="I37" i="2"/>
  <c r="I33" i="2"/>
  <c r="I32" i="2"/>
  <c r="I31" i="2"/>
  <c r="I30" i="2"/>
  <c r="I29" i="2"/>
  <c r="I25" i="2"/>
  <c r="I24" i="2"/>
  <c r="I23" i="2"/>
  <c r="I22" i="2"/>
  <c r="I21" i="2"/>
  <c r="I17" i="2"/>
  <c r="I16" i="2"/>
  <c r="I15" i="2"/>
  <c r="I14" i="2"/>
  <c r="I13" i="2"/>
  <c r="I6" i="2"/>
  <c r="I7" i="2"/>
  <c r="I9" i="2"/>
  <c r="D25" i="9" l="1"/>
  <c r="R18" i="2"/>
  <c r="Q18" i="2" s="1"/>
  <c r="D15" i="9"/>
  <c r="D30" i="9"/>
  <c r="R178" i="2"/>
  <c r="R250" i="2"/>
  <c r="R274" i="2"/>
  <c r="Q274" i="2" s="1"/>
  <c r="D38" i="9" s="1"/>
  <c r="R306" i="2"/>
  <c r="Q306" i="2" s="1"/>
  <c r="D42" i="9" s="1"/>
  <c r="R322" i="2"/>
  <c r="Q322" i="2" s="1"/>
  <c r="D44" i="9" s="1"/>
  <c r="R50" i="2"/>
  <c r="R314" i="2"/>
  <c r="Q314" i="2" s="1"/>
  <c r="D43" i="9" s="1"/>
  <c r="R42" i="2"/>
  <c r="D13" i="9"/>
  <c r="D16" i="9"/>
  <c r="D22" i="9"/>
  <c r="R266" i="2"/>
  <c r="R298" i="2"/>
  <c r="Q298" i="2" s="1"/>
  <c r="D41" i="9" s="1"/>
  <c r="R26" i="2"/>
  <c r="R34" i="2"/>
  <c r="D9" i="9"/>
  <c r="D10" i="9"/>
  <c r="D18" i="9"/>
  <c r="R186" i="2"/>
  <c r="R194" i="2"/>
  <c r="R218" i="2"/>
  <c r="R282" i="2"/>
  <c r="Q282" i="2" s="1"/>
  <c r="D39" i="9" s="1"/>
  <c r="R58" i="2"/>
  <c r="Q58" i="2" s="1"/>
  <c r="R162" i="2"/>
  <c r="R170" i="2"/>
  <c r="R202" i="2"/>
  <c r="R226" i="2"/>
  <c r="R234" i="2"/>
  <c r="R258" i="2"/>
  <c r="R290" i="2"/>
  <c r="Q290" i="2" s="1"/>
  <c r="D40" i="9" s="1"/>
  <c r="D8" i="9"/>
  <c r="R210" i="2"/>
  <c r="R242" i="2"/>
  <c r="R300" i="2"/>
  <c r="R284" i="2"/>
  <c r="R276" i="2"/>
  <c r="R228" i="2"/>
  <c r="R220" i="2"/>
  <c r="R204" i="2"/>
  <c r="R196" i="2"/>
  <c r="R188" i="2"/>
  <c r="R156" i="2"/>
  <c r="R140" i="2"/>
  <c r="R132" i="2"/>
  <c r="R124" i="2"/>
  <c r="R116" i="2"/>
  <c r="Q266" i="2" l="1"/>
  <c r="D32" i="9" s="1"/>
  <c r="Q186" i="2"/>
  <c r="D24" i="9" s="1"/>
  <c r="Q202" i="2"/>
  <c r="D5" i="9" s="1"/>
  <c r="Q170" i="2"/>
  <c r="D27" i="9" s="1"/>
  <c r="Q178" i="2"/>
  <c r="D21" i="9" s="1"/>
  <c r="Q210" i="2"/>
  <c r="D28" i="9" s="1"/>
  <c r="Q162" i="2"/>
  <c r="D31" i="9" s="1"/>
  <c r="Q34" i="2"/>
  <c r="D19" i="9" s="1"/>
  <c r="Q26" i="2"/>
  <c r="D6" i="9" s="1"/>
  <c r="Q50" i="2"/>
  <c r="D14" i="9" s="1"/>
  <c r="Q194" i="2"/>
  <c r="D37" i="9" s="1"/>
  <c r="Q258" i="2"/>
  <c r="D35" i="9" s="1"/>
  <c r="Q250" i="2"/>
  <c r="D29" i="9" s="1"/>
  <c r="Q242" i="2"/>
  <c r="D20" i="9" s="1"/>
  <c r="Q234" i="2"/>
  <c r="D34" i="9" s="1"/>
  <c r="Q226" i="2"/>
  <c r="D36" i="9" s="1"/>
  <c r="Q218" i="2"/>
  <c r="D33" i="9" s="1"/>
  <c r="D17" i="9"/>
  <c r="D11" i="9"/>
  <c r="Q42" i="2"/>
  <c r="D26" i="9" s="1"/>
  <c r="D12" i="9"/>
  <c r="D23" i="9"/>
  <c r="A32" i="2"/>
  <c r="B67" i="5" s="1"/>
  <c r="A31" i="2"/>
  <c r="B132" i="5" s="1"/>
  <c r="A29" i="2"/>
  <c r="B64" i="5" s="1"/>
  <c r="A30" i="2"/>
  <c r="B133" i="5" s="1"/>
  <c r="R10" i="2" l="1"/>
  <c r="Q10" i="2" s="1"/>
  <c r="D7" i="9" l="1"/>
  <c r="A3" i="5"/>
  <c r="A28" i="2"/>
  <c r="B19" i="9" s="1"/>
  <c r="A124" i="2"/>
  <c r="B17" i="9" s="1"/>
</calcChain>
</file>

<file path=xl/sharedStrings.xml><?xml version="1.0" encoding="utf-8"?>
<sst xmlns="http://schemas.openxmlformats.org/spreadsheetml/2006/main" count="222" uniqueCount="169">
  <si>
    <t>Runde</t>
  </si>
  <si>
    <t>IALT</t>
  </si>
  <si>
    <t>NR.</t>
  </si>
  <si>
    <t>Hold</t>
  </si>
  <si>
    <t>Navn</t>
  </si>
  <si>
    <t>Score</t>
  </si>
  <si>
    <t xml:space="preserve">Nr. </t>
  </si>
  <si>
    <t>Firmanavn / Hold</t>
  </si>
  <si>
    <t>Personlig score</t>
  </si>
  <si>
    <t>nr.</t>
  </si>
  <si>
    <t>Bjarne</t>
  </si>
  <si>
    <t>Birger</t>
  </si>
  <si>
    <t>Jensen 1</t>
  </si>
  <si>
    <t>Jørn</t>
  </si>
  <si>
    <t>Jannik</t>
  </si>
  <si>
    <t>Allan</t>
  </si>
  <si>
    <t>reserve</t>
  </si>
  <si>
    <t>Navn1</t>
  </si>
  <si>
    <t>Navn2</t>
  </si>
  <si>
    <t>Navn3</t>
  </si>
  <si>
    <t>Navn4</t>
  </si>
  <si>
    <t>Finn</t>
  </si>
  <si>
    <t>Jan</t>
  </si>
  <si>
    <t>Ole</t>
  </si>
  <si>
    <t>Carsten</t>
  </si>
  <si>
    <t>Per</t>
  </si>
  <si>
    <t>Flemming</t>
  </si>
  <si>
    <t>Team Kruse</t>
  </si>
  <si>
    <t>3 Kløver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</si>
  <si>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</si>
  <si>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Lauge</t>
  </si>
  <si>
    <t>Klaus</t>
  </si>
  <si>
    <t>Herluf</t>
  </si>
  <si>
    <t>Birthe</t>
  </si>
  <si>
    <t>Tina</t>
  </si>
  <si>
    <t>Erol</t>
  </si>
  <si>
    <t>Sivertsen</t>
  </si>
  <si>
    <t>Rønne Bowlingcenter</t>
  </si>
  <si>
    <t>Ana</t>
  </si>
  <si>
    <t>JFL</t>
  </si>
  <si>
    <t>Havnens Bisser</t>
  </si>
  <si>
    <t>Torben</t>
  </si>
  <si>
    <t>Finn Erik</t>
  </si>
  <si>
    <t>Egon</t>
  </si>
  <si>
    <t>Bitten</t>
  </si>
  <si>
    <t>Papirlageret</t>
  </si>
  <si>
    <t xml:space="preserve">Cheif </t>
  </si>
  <si>
    <t>Duen</t>
  </si>
  <si>
    <t>Borby</t>
  </si>
  <si>
    <t>Oliver</t>
  </si>
  <si>
    <t>Allan J</t>
  </si>
  <si>
    <t>Bent Ole</t>
  </si>
  <si>
    <t>Henrik S</t>
  </si>
  <si>
    <t>Maane</t>
  </si>
  <si>
    <t>Kim</t>
  </si>
  <si>
    <t>Pia</t>
  </si>
  <si>
    <t>Nordea</t>
  </si>
  <si>
    <t>Helga</t>
  </si>
  <si>
    <t>Jesper</t>
  </si>
  <si>
    <t>Alex</t>
  </si>
  <si>
    <t>Holm</t>
  </si>
  <si>
    <t>Ivan</t>
  </si>
  <si>
    <t>Heidi</t>
  </si>
  <si>
    <t>Ilse</t>
  </si>
  <si>
    <t>Die Herren</t>
  </si>
  <si>
    <t xml:space="preserve">Mark Borby </t>
  </si>
  <si>
    <t>Birgitte</t>
  </si>
  <si>
    <t>Emilie Boye Jensen.</t>
  </si>
  <si>
    <t>Mette Lund-Hansen</t>
  </si>
  <si>
    <t>Ditte Poulsen</t>
  </si>
  <si>
    <t>Simone Klausen</t>
  </si>
  <si>
    <t>Svesketærterne</t>
  </si>
  <si>
    <t>SA1erne</t>
  </si>
  <si>
    <t>Laila Engebriksen</t>
  </si>
  <si>
    <t xml:space="preserve">Britt-Marie Andersen </t>
  </si>
  <si>
    <t>Tina Agger</t>
  </si>
  <si>
    <t>Noëlle Larsen</t>
  </si>
  <si>
    <t>Ole Almeborg 1</t>
  </si>
  <si>
    <t>Ole Almeborg 2</t>
  </si>
  <si>
    <t>Ole Almeborg 3</t>
  </si>
  <si>
    <t>Bofa</t>
  </si>
  <si>
    <t>Matz</t>
  </si>
  <si>
    <t>Tommy</t>
  </si>
  <si>
    <t>Nordbornholms Byggeforretning 2</t>
  </si>
  <si>
    <t>Nordbornholms Byggeforretning 1</t>
  </si>
  <si>
    <t>Mike</t>
  </si>
  <si>
    <t>PC</t>
  </si>
  <si>
    <t>Magnus</t>
  </si>
  <si>
    <t>Jackie</t>
  </si>
  <si>
    <t>Michael</t>
  </si>
  <si>
    <t>Benjamin</t>
  </si>
  <si>
    <t>Line</t>
  </si>
  <si>
    <t>Frank</t>
  </si>
  <si>
    <t>Steffen</t>
  </si>
  <si>
    <t>Linda</t>
  </si>
  <si>
    <t>Drejer</t>
  </si>
  <si>
    <t>Berit</t>
  </si>
  <si>
    <t>BRK Team Østermarie 1</t>
  </si>
  <si>
    <t>BRK Team Østermarie 2</t>
  </si>
  <si>
    <t>BRK Team Østermarie 3</t>
  </si>
  <si>
    <t>Karin</t>
  </si>
  <si>
    <t>Britt</t>
  </si>
  <si>
    <t>Jeanette</t>
  </si>
  <si>
    <t>Lennert</t>
  </si>
  <si>
    <t>Søren</t>
  </si>
  <si>
    <t>Anja</t>
  </si>
  <si>
    <t>Jeff</t>
  </si>
  <si>
    <t>Anita</t>
  </si>
  <si>
    <t>Christine</t>
  </si>
  <si>
    <t>Maria</t>
  </si>
  <si>
    <t>Lene</t>
  </si>
  <si>
    <t>Bornfiber 1</t>
  </si>
  <si>
    <t>Bornfiber 2</t>
  </si>
  <si>
    <t>Maler- og Gulvfirmaet 1</t>
  </si>
  <si>
    <t>Maler- og Gulvfirmaet 2</t>
  </si>
  <si>
    <t>Maler- og Gulvfirmaet 3</t>
  </si>
  <si>
    <t>Steen</t>
  </si>
  <si>
    <t>Patrick</t>
  </si>
  <si>
    <t>Daniel</t>
  </si>
  <si>
    <t>Torkild</t>
  </si>
  <si>
    <t>Lone</t>
  </si>
  <si>
    <t>Mikki</t>
  </si>
  <si>
    <t>Sandy</t>
  </si>
  <si>
    <t>Luwam</t>
  </si>
  <si>
    <t xml:space="preserve">Lin </t>
  </si>
  <si>
    <t>Nee / Anja</t>
  </si>
  <si>
    <t>BRK Team Tejn 1</t>
  </si>
  <si>
    <t>BRK Team Tejn 2</t>
  </si>
  <si>
    <t>Trine</t>
  </si>
  <si>
    <t>Kaya</t>
  </si>
  <si>
    <t>Mie</t>
  </si>
  <si>
    <t>Jens Ole</t>
  </si>
  <si>
    <t>Fantasy Girls</t>
  </si>
  <si>
    <t>Niels L</t>
  </si>
  <si>
    <t>Linette</t>
  </si>
  <si>
    <t>Charlotte</t>
  </si>
  <si>
    <t>Kristoffer</t>
  </si>
  <si>
    <t>Cindie</t>
  </si>
  <si>
    <t>Firma Bowlingturnering 2023</t>
  </si>
  <si>
    <t>El &amp; VVS Center 1</t>
  </si>
  <si>
    <t>El &amp; VVS Center 2</t>
  </si>
  <si>
    <t>Kristina</t>
  </si>
  <si>
    <t>Mekael</t>
  </si>
  <si>
    <t>Stefan</t>
  </si>
  <si>
    <t>Mogens</t>
  </si>
  <si>
    <t>Susanne</t>
  </si>
  <si>
    <t>Kian</t>
  </si>
  <si>
    <t>Thomas</t>
  </si>
  <si>
    <t>Hanne</t>
  </si>
  <si>
    <t>per</t>
  </si>
  <si>
    <t>Joanna</t>
  </si>
  <si>
    <t>BOH 1'erne</t>
  </si>
  <si>
    <t>Birger k</t>
  </si>
  <si>
    <t>Lukas</t>
  </si>
  <si>
    <t>Mark</t>
  </si>
  <si>
    <t>otto</t>
  </si>
  <si>
    <t>pernille</t>
  </si>
  <si>
    <t>mathias</t>
  </si>
  <si>
    <t>kris</t>
  </si>
  <si>
    <t xml:space="preserve">        </t>
  </si>
  <si>
    <t>Dan/ Bjarke</t>
  </si>
  <si>
    <t>Bjarke/Dan</t>
  </si>
  <si>
    <t>Silas/jesper</t>
  </si>
  <si>
    <t>Nikolaj/Kenner</t>
  </si>
  <si>
    <t>Drejer/Line</t>
  </si>
  <si>
    <t xml:space="preserve">  </t>
  </si>
  <si>
    <t>Kris</t>
  </si>
  <si>
    <t xml:space="preserve">  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</si>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</sst>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9"/>
      <color indexed="9"/>
      <name val="Arial"/>
      <family val="2"/>
    </font>
    <font>
      <b/>
      <sz val="9"/>
      <color rgb="FFFFFF00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sz val="10"/>
      <name val="Verdana"/>
      <family val="2"/>
    </font>
    <font>
      <sz val="10"/>
      <color rgb="FF002060"/>
      <name val="Verdana"/>
      <family val="2"/>
    </font>
    <font>
      <b/>
      <sz val="11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38" fillId="0" borderId="0" applyNumberFormat="0" applyFill="0" applyBorder="0" applyAlignment="0" applyProtection="0"/>
    <xf numFmtId="0" fontId="35" fillId="3" borderId="16" applyNumberFormat="0" applyFont="0" applyAlignment="0" applyProtection="0"/>
    <xf numFmtId="0" fontId="39" fillId="4" borderId="17" applyNumberFormat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2" fillId="6" borderId="17" applyNumberFormat="0" applyAlignment="0" applyProtection="0"/>
    <xf numFmtId="0" fontId="43" fillId="7" borderId="0" applyNumberFormat="0" applyBorder="0" applyAlignment="0" applyProtection="0"/>
    <xf numFmtId="0" fontId="37" fillId="0" borderId="0"/>
    <xf numFmtId="0" fontId="44" fillId="4" borderId="18" applyNumberFormat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23" applyNumberFormat="0" applyFill="0" applyAlignment="0" applyProtection="0"/>
    <xf numFmtId="0" fontId="51" fillId="8" borderId="0" applyNumberFormat="0" applyBorder="0" applyAlignment="0" applyProtection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174">
    <xf numFmtId="0" fontId="0" fillId="0" borderId="0" xfId="0"/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/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0" fillId="0" borderId="0" xfId="0" applyFont="1" applyBorder="1"/>
    <xf numFmtId="0" fontId="30" fillId="0" borderId="0" xfId="0" applyFont="1" applyFill="1" applyBorder="1"/>
    <xf numFmtId="0" fontId="31" fillId="0" borderId="0" xfId="0" applyFont="1" applyAlignment="1">
      <alignment horizontal="center"/>
    </xf>
    <xf numFmtId="0" fontId="30" fillId="0" borderId="6" xfId="0" applyFont="1" applyFill="1" applyBorder="1"/>
    <xf numFmtId="0" fontId="52" fillId="0" borderId="0" xfId="0" applyFont="1"/>
    <xf numFmtId="0" fontId="0" fillId="0" borderId="8" xfId="0" applyBorder="1"/>
    <xf numFmtId="0" fontId="29" fillId="0" borderId="9" xfId="0" applyFont="1" applyBorder="1"/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1" fontId="0" fillId="0" borderId="0" xfId="0" applyNumberFormat="1" applyBorder="1"/>
    <xf numFmtId="0" fontId="34" fillId="0" borderId="3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55" fillId="9" borderId="0" xfId="0" applyFont="1" applyFill="1" applyAlignment="1">
      <alignment horizontal="center"/>
    </xf>
    <xf numFmtId="1" fontId="29" fillId="0" borderId="0" xfId="0" applyNumberFormat="1" applyFont="1" applyBorder="1"/>
    <xf numFmtId="1" fontId="0" fillId="0" borderId="0" xfId="0" applyNumberFormat="1"/>
    <xf numFmtId="1" fontId="28" fillId="0" borderId="1" xfId="18" applyNumberFormat="1" applyBorder="1"/>
    <xf numFmtId="0" fontId="0" fillId="0" borderId="25" xfId="0" applyBorder="1"/>
    <xf numFmtId="0" fontId="29" fillId="10" borderId="5" xfId="0" applyFont="1" applyFill="1" applyBorder="1"/>
    <xf numFmtId="0" fontId="29" fillId="10" borderId="27" xfId="0" applyFont="1" applyFill="1" applyBorder="1"/>
    <xf numFmtId="1" fontId="0" fillId="0" borderId="28" xfId="0" applyNumberFormat="1" applyBorder="1"/>
    <xf numFmtId="0" fontId="0" fillId="0" borderId="0" xfId="0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9" borderId="32" xfId="0" applyFill="1" applyBorder="1"/>
    <xf numFmtId="0" fontId="54" fillId="9" borderId="24" xfId="0" applyFont="1" applyFill="1" applyBorder="1" applyAlignment="1">
      <alignment horizontal="center"/>
    </xf>
    <xf numFmtId="0" fontId="54" fillId="9" borderId="2" xfId="0" applyFont="1" applyFill="1" applyBorder="1" applyAlignment="1">
      <alignment horizontal="center"/>
    </xf>
    <xf numFmtId="0" fontId="54" fillId="9" borderId="35" xfId="0" applyFont="1" applyFill="1" applyBorder="1" applyAlignment="1">
      <alignment horizontal="center"/>
    </xf>
    <xf numFmtId="0" fontId="56" fillId="2" borderId="9" xfId="0" applyFont="1" applyFill="1" applyBorder="1" applyAlignment="1">
      <alignment horizontal="center"/>
    </xf>
    <xf numFmtId="0" fontId="36" fillId="2" borderId="10" xfId="0" applyFont="1" applyFill="1" applyBorder="1" applyAlignment="1">
      <alignment horizontal="center"/>
    </xf>
    <xf numFmtId="0" fontId="36" fillId="2" borderId="10" xfId="0" applyFont="1" applyFill="1" applyBorder="1" applyAlignment="1">
      <alignment horizontal="right"/>
    </xf>
    <xf numFmtId="0" fontId="36" fillId="2" borderId="34" xfId="0" applyFont="1" applyFill="1" applyBorder="1" applyAlignment="1">
      <alignment horizontal="left"/>
    </xf>
    <xf numFmtId="0" fontId="0" fillId="0" borderId="0" xfId="0" applyFill="1"/>
    <xf numFmtId="0" fontId="29" fillId="10" borderId="15" xfId="0" applyFont="1" applyFill="1" applyBorder="1"/>
    <xf numFmtId="0" fontId="0" fillId="0" borderId="7" xfId="0" applyBorder="1"/>
    <xf numFmtId="0" fontId="0" fillId="0" borderId="33" xfId="0" applyBorder="1"/>
    <xf numFmtId="0" fontId="50" fillId="0" borderId="0" xfId="18" applyFont="1" applyFill="1" applyBorder="1" applyAlignment="1">
      <alignment horizontal="center"/>
    </xf>
    <xf numFmtId="0" fontId="30" fillId="0" borderId="0" xfId="18" applyFont="1" applyFill="1" applyBorder="1" applyAlignment="1">
      <alignment horizontal="left"/>
    </xf>
    <xf numFmtId="0" fontId="28" fillId="0" borderId="0" xfId="18" applyFont="1" applyFill="1" applyBorder="1" applyAlignment="1">
      <alignment horizontal="left"/>
    </xf>
    <xf numFmtId="0" fontId="58" fillId="0" borderId="0" xfId="18" applyFont="1" applyBorder="1" applyAlignment="1">
      <alignment vertical="center"/>
    </xf>
    <xf numFmtId="0" fontId="28" fillId="0" borderId="0" xfId="18" applyBorder="1"/>
    <xf numFmtId="0" fontId="59" fillId="0" borderId="0" xfId="0" applyFont="1"/>
    <xf numFmtId="0" fontId="60" fillId="0" borderId="0" xfId="0" applyFont="1"/>
    <xf numFmtId="0" fontId="59" fillId="0" borderId="0" xfId="0" applyFont="1" applyFill="1" applyBorder="1"/>
    <xf numFmtId="0" fontId="59" fillId="0" borderId="0" xfId="0" applyFont="1" applyBorder="1"/>
    <xf numFmtId="0" fontId="30" fillId="0" borderId="0" xfId="0" applyFont="1" applyAlignment="1">
      <alignment horizontal="left"/>
    </xf>
    <xf numFmtId="0" fontId="34" fillId="0" borderId="4" xfId="0" applyFont="1" applyBorder="1" applyAlignment="1">
      <alignment horizontal="left"/>
    </xf>
    <xf numFmtId="0" fontId="34" fillId="0" borderId="5" xfId="0" applyFont="1" applyBorder="1" applyAlignment="1">
      <alignment horizontal="center"/>
    </xf>
    <xf numFmtId="0" fontId="59" fillId="0" borderId="0" xfId="0" applyFont="1"/>
    <xf numFmtId="0" fontId="0" fillId="0" borderId="1" xfId="0" applyBorder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left"/>
    </xf>
    <xf numFmtId="1" fontId="0" fillId="0" borderId="0" xfId="0" applyNumberFormat="1"/>
    <xf numFmtId="0" fontId="59" fillId="0" borderId="0" xfId="0" applyFont="1"/>
    <xf numFmtId="1" fontId="34" fillId="0" borderId="1" xfId="0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0" fillId="0" borderId="25" xfId="0" applyFill="1" applyBorder="1"/>
    <xf numFmtId="0" fontId="0" fillId="0" borderId="1" xfId="0" applyFill="1" applyBorder="1"/>
    <xf numFmtId="1" fontId="0" fillId="0" borderId="0" xfId="0" applyNumberForma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horizontal="center"/>
    </xf>
    <xf numFmtId="0" fontId="30" fillId="0" borderId="0" xfId="0" applyFont="1" applyFill="1"/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34" fillId="0" borderId="1" xfId="0" applyFont="1" applyFill="1" applyBorder="1" applyAlignment="1">
      <alignment horizontal="center"/>
    </xf>
    <xf numFmtId="1" fontId="28" fillId="0" borderId="8" xfId="18" applyNumberFormat="1" applyBorder="1"/>
    <xf numFmtId="0" fontId="0" fillId="0" borderId="39" xfId="0" applyBorder="1"/>
    <xf numFmtId="1" fontId="28" fillId="0" borderId="25" xfId="18" applyNumberFormat="1" applyBorder="1"/>
    <xf numFmtId="0" fontId="0" fillId="10" borderId="13" xfId="0" applyFill="1" applyBorder="1"/>
    <xf numFmtId="0" fontId="0" fillId="10" borderId="14" xfId="0" applyFill="1" applyBorder="1"/>
    <xf numFmtId="0" fontId="0" fillId="10" borderId="15" xfId="0" applyFill="1" applyBorder="1"/>
    <xf numFmtId="0" fontId="29" fillId="0" borderId="15" xfId="0" applyFont="1" applyFill="1" applyBorder="1" applyAlignment="1">
      <alignment horizontal="center"/>
    </xf>
    <xf numFmtId="0" fontId="29" fillId="11" borderId="38" xfId="0" applyFont="1" applyFill="1" applyBorder="1" applyAlignment="1">
      <alignment horizontal="center"/>
    </xf>
    <xf numFmtId="0" fontId="29" fillId="11" borderId="40" xfId="0" applyFont="1" applyFill="1" applyBorder="1" applyAlignment="1">
      <alignment horizontal="center"/>
    </xf>
    <xf numFmtId="0" fontId="29" fillId="11" borderId="41" xfId="0" applyFont="1" applyFill="1" applyBorder="1" applyAlignment="1">
      <alignment horizontal="center"/>
    </xf>
    <xf numFmtId="1" fontId="28" fillId="0" borderId="36" xfId="18" applyNumberFormat="1" applyBorder="1"/>
    <xf numFmtId="1" fontId="28" fillId="0" borderId="37" xfId="18" applyNumberFormat="1" applyBorder="1"/>
    <xf numFmtId="1" fontId="28" fillId="0" borderId="42" xfId="18" applyNumberFormat="1" applyBorder="1"/>
    <xf numFmtId="0" fontId="26" fillId="0" borderId="38" xfId="18" applyFont="1" applyFill="1" applyBorder="1" applyAlignment="1">
      <alignment horizontal="left"/>
    </xf>
    <xf numFmtId="0" fontId="26" fillId="0" borderId="40" xfId="18" applyFont="1" applyFill="1" applyBorder="1" applyAlignment="1">
      <alignment horizontal="left"/>
    </xf>
    <xf numFmtId="0" fontId="26" fillId="0" borderId="41" xfId="18" applyFont="1" applyFill="1" applyBorder="1" applyAlignment="1">
      <alignment horizontal="left"/>
    </xf>
    <xf numFmtId="0" fontId="34" fillId="12" borderId="1" xfId="0" applyFont="1" applyFill="1" applyBorder="1" applyAlignment="1">
      <alignment horizontal="center"/>
    </xf>
    <xf numFmtId="0" fontId="34" fillId="12" borderId="1" xfId="0" applyFont="1" applyFill="1" applyBorder="1" applyAlignment="1">
      <alignment horizontal="left"/>
    </xf>
    <xf numFmtId="1" fontId="34" fillId="12" borderId="1" xfId="0" applyNumberFormat="1" applyFont="1" applyFill="1" applyBorder="1" applyAlignment="1">
      <alignment horizontal="center"/>
    </xf>
    <xf numFmtId="0" fontId="25" fillId="0" borderId="38" xfId="18" applyFont="1" applyFill="1" applyBorder="1" applyAlignment="1">
      <alignment horizontal="left"/>
    </xf>
    <xf numFmtId="0" fontId="25" fillId="0" borderId="40" xfId="18" applyFont="1" applyFill="1" applyBorder="1" applyAlignment="1">
      <alignment horizontal="left"/>
    </xf>
    <xf numFmtId="0" fontId="24" fillId="0" borderId="38" xfId="18" applyFont="1" applyFill="1" applyBorder="1" applyAlignment="1">
      <alignment horizontal="left"/>
    </xf>
    <xf numFmtId="0" fontId="24" fillId="0" borderId="40" xfId="18" applyFont="1" applyFill="1" applyBorder="1" applyAlignment="1">
      <alignment horizontal="left"/>
    </xf>
    <xf numFmtId="0" fontId="23" fillId="0" borderId="40" xfId="18" applyFont="1" applyFill="1" applyBorder="1" applyAlignment="1">
      <alignment horizontal="left"/>
    </xf>
    <xf numFmtId="0" fontId="23" fillId="0" borderId="41" xfId="18" applyFont="1" applyFill="1" applyBorder="1" applyAlignment="1">
      <alignment horizontal="left"/>
    </xf>
    <xf numFmtId="0" fontId="23" fillId="0" borderId="38" xfId="18" applyFont="1" applyFill="1" applyBorder="1" applyAlignment="1">
      <alignment horizontal="left"/>
    </xf>
    <xf numFmtId="1" fontId="30" fillId="0" borderId="0" xfId="0" applyNumberFormat="1" applyFont="1" applyBorder="1"/>
    <xf numFmtId="0" fontId="22" fillId="0" borderId="41" xfId="18" applyFont="1" applyFill="1" applyBorder="1" applyAlignment="1">
      <alignment horizontal="left"/>
    </xf>
    <xf numFmtId="0" fontId="22" fillId="0" borderId="38" xfId="18" applyFont="1" applyFill="1" applyBorder="1" applyAlignment="1">
      <alignment horizontal="left"/>
    </xf>
    <xf numFmtId="0" fontId="22" fillId="0" borderId="40" xfId="18" applyFont="1" applyFill="1" applyBorder="1" applyAlignment="1">
      <alignment horizontal="left"/>
    </xf>
    <xf numFmtId="0" fontId="21" fillId="0" borderId="40" xfId="18" applyFont="1" applyFill="1" applyBorder="1" applyAlignment="1">
      <alignment horizontal="left"/>
    </xf>
    <xf numFmtId="0" fontId="21" fillId="0" borderId="38" xfId="18" applyFont="1" applyFill="1" applyBorder="1" applyAlignment="1">
      <alignment horizontal="left"/>
    </xf>
    <xf numFmtId="0" fontId="20" fillId="0" borderId="38" xfId="18" applyFont="1" applyFill="1" applyBorder="1" applyAlignment="1">
      <alignment horizontal="left"/>
    </xf>
    <xf numFmtId="0" fontId="20" fillId="0" borderId="40" xfId="18" applyFont="1" applyFill="1" applyBorder="1" applyAlignment="1">
      <alignment horizontal="left"/>
    </xf>
    <xf numFmtId="0" fontId="19" fillId="0" borderId="38" xfId="18" applyFont="1" applyFill="1" applyBorder="1" applyAlignment="1">
      <alignment horizontal="left"/>
    </xf>
    <xf numFmtId="0" fontId="19" fillId="0" borderId="40" xfId="18" applyFont="1" applyFill="1" applyBorder="1" applyAlignment="1">
      <alignment horizontal="left"/>
    </xf>
    <xf numFmtId="0" fontId="19" fillId="0" borderId="41" xfId="18" applyFont="1" applyFill="1" applyBorder="1" applyAlignment="1">
      <alignment horizontal="left"/>
    </xf>
    <xf numFmtId="0" fontId="18" fillId="0" borderId="38" xfId="18" applyFont="1" applyFill="1" applyBorder="1" applyAlignment="1">
      <alignment horizontal="left"/>
    </xf>
    <xf numFmtId="0" fontId="18" fillId="0" borderId="40" xfId="18" applyFont="1" applyFill="1" applyBorder="1" applyAlignment="1">
      <alignment horizontal="left"/>
    </xf>
    <xf numFmtId="0" fontId="17" fillId="0" borderId="40" xfId="18" applyFont="1" applyFill="1" applyBorder="1" applyAlignment="1">
      <alignment horizontal="left"/>
    </xf>
    <xf numFmtId="0" fontId="16" fillId="0" borderId="40" xfId="18" applyFont="1" applyFill="1" applyBorder="1" applyAlignment="1">
      <alignment horizontal="left"/>
    </xf>
    <xf numFmtId="0" fontId="61" fillId="0" borderId="15" xfId="0" applyFont="1" applyFill="1" applyBorder="1" applyAlignment="1">
      <alignment horizontal="center"/>
    </xf>
    <xf numFmtId="0" fontId="62" fillId="0" borderId="0" xfId="0" applyFont="1"/>
    <xf numFmtId="1" fontId="16" fillId="0" borderId="25" xfId="18" applyNumberFormat="1" applyFont="1" applyBorder="1"/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15" fillId="0" borderId="38" xfId="18" applyFont="1" applyFill="1" applyBorder="1" applyAlignment="1">
      <alignment horizontal="left"/>
    </xf>
    <xf numFmtId="0" fontId="15" fillId="0" borderId="40" xfId="18" applyFont="1" applyFill="1" applyBorder="1" applyAlignment="1">
      <alignment horizontal="left"/>
    </xf>
    <xf numFmtId="0" fontId="14" fillId="0" borderId="38" xfId="18" applyFont="1" applyFill="1" applyBorder="1" applyAlignment="1">
      <alignment horizontal="left"/>
    </xf>
    <xf numFmtId="0" fontId="14" fillId="0" borderId="40" xfId="18" applyFont="1" applyFill="1" applyBorder="1" applyAlignment="1">
      <alignment horizontal="left"/>
    </xf>
    <xf numFmtId="1" fontId="14" fillId="0" borderId="1" xfId="18" applyNumberFormat="1" applyFont="1" applyBorder="1"/>
    <xf numFmtId="0" fontId="14" fillId="0" borderId="41" xfId="18" applyFont="1" applyFill="1" applyBorder="1" applyAlignment="1">
      <alignment horizontal="left"/>
    </xf>
    <xf numFmtId="0" fontId="65" fillId="0" borderId="27" xfId="0" applyFont="1" applyBorder="1" applyAlignment="1">
      <alignment vertical="center"/>
    </xf>
    <xf numFmtId="0" fontId="13" fillId="0" borderId="38" xfId="18" applyFont="1" applyFill="1" applyBorder="1" applyAlignment="1">
      <alignment horizontal="left"/>
    </xf>
    <xf numFmtId="0" fontId="13" fillId="0" borderId="40" xfId="18" applyFont="1" applyFill="1" applyBorder="1" applyAlignment="1">
      <alignment horizontal="left"/>
    </xf>
    <xf numFmtId="0" fontId="12" fillId="0" borderId="38" xfId="18" applyFont="1" applyFill="1" applyBorder="1" applyAlignment="1">
      <alignment horizontal="left"/>
    </xf>
    <xf numFmtId="0" fontId="12" fillId="0" borderId="40" xfId="18" applyFont="1" applyFill="1" applyBorder="1" applyAlignment="1">
      <alignment horizontal="left"/>
    </xf>
    <xf numFmtId="0" fontId="12" fillId="0" borderId="41" xfId="18" applyFont="1" applyFill="1" applyBorder="1" applyAlignment="1">
      <alignment horizontal="left"/>
    </xf>
    <xf numFmtId="1" fontId="0" fillId="0" borderId="25" xfId="0" applyNumberFormat="1" applyBorder="1"/>
    <xf numFmtId="1" fontId="12" fillId="0" borderId="25" xfId="18" applyNumberFormat="1" applyFont="1" applyBorder="1"/>
    <xf numFmtId="0" fontId="11" fillId="0" borderId="40" xfId="18" applyFont="1" applyFill="1" applyBorder="1" applyAlignment="1">
      <alignment horizontal="left"/>
    </xf>
    <xf numFmtId="0" fontId="11" fillId="0" borderId="38" xfId="18" applyFont="1" applyFill="1" applyBorder="1" applyAlignment="1">
      <alignment horizontal="left"/>
    </xf>
    <xf numFmtId="0" fontId="10" fillId="0" borderId="40" xfId="18" applyFont="1" applyFill="1" applyBorder="1" applyAlignment="1">
      <alignment horizontal="left"/>
    </xf>
    <xf numFmtId="0" fontId="9" fillId="0" borderId="40" xfId="18" applyFont="1" applyFill="1" applyBorder="1" applyAlignment="1">
      <alignment horizontal="left"/>
    </xf>
    <xf numFmtId="0" fontId="9" fillId="0" borderId="38" xfId="18" applyFont="1" applyFill="1" applyBorder="1" applyAlignment="1">
      <alignment horizontal="left"/>
    </xf>
    <xf numFmtId="0" fontId="8" fillId="0" borderId="40" xfId="18" applyFont="1" applyFill="1" applyBorder="1" applyAlignment="1">
      <alignment horizontal="left"/>
    </xf>
    <xf numFmtId="0" fontId="8" fillId="0" borderId="41" xfId="18" applyFont="1" applyFill="1" applyBorder="1" applyAlignment="1">
      <alignment horizontal="left"/>
    </xf>
    <xf numFmtId="0" fontId="7" fillId="0" borderId="40" xfId="18" applyFont="1" applyFill="1" applyBorder="1" applyAlignment="1">
      <alignment horizontal="left"/>
    </xf>
    <xf numFmtId="0" fontId="6" fillId="0" borderId="41" xfId="18" applyFont="1" applyFill="1" applyBorder="1" applyAlignment="1">
      <alignment horizontal="left"/>
    </xf>
    <xf numFmtId="0" fontId="34" fillId="13" borderId="1" xfId="0" applyFont="1" applyFill="1" applyBorder="1" applyAlignment="1">
      <alignment horizontal="center"/>
    </xf>
    <xf numFmtId="0" fontId="34" fillId="13" borderId="1" xfId="0" applyFont="1" applyFill="1" applyBorder="1" applyAlignment="1">
      <alignment horizontal="left"/>
    </xf>
    <xf numFmtId="1" fontId="34" fillId="13" borderId="1" xfId="0" applyNumberFormat="1" applyFont="1" applyFill="1" applyBorder="1" applyAlignment="1">
      <alignment horizontal="center"/>
    </xf>
    <xf numFmtId="0" fontId="34" fillId="11" borderId="1" xfId="0" applyFont="1" applyFill="1" applyBorder="1" applyAlignment="1">
      <alignment horizontal="center"/>
    </xf>
    <xf numFmtId="0" fontId="34" fillId="11" borderId="1" xfId="0" applyFont="1" applyFill="1" applyBorder="1" applyAlignment="1">
      <alignment horizontal="left"/>
    </xf>
    <xf numFmtId="1" fontId="34" fillId="11" borderId="1" xfId="0" applyNumberFormat="1" applyFont="1" applyFill="1" applyBorder="1" applyAlignment="1">
      <alignment horizontal="center"/>
    </xf>
    <xf numFmtId="0" fontId="34" fillId="14" borderId="1" xfId="0" applyFont="1" applyFill="1" applyBorder="1" applyAlignment="1">
      <alignment horizontal="center"/>
    </xf>
    <xf numFmtId="0" fontId="34" fillId="14" borderId="1" xfId="0" applyFont="1" applyFill="1" applyBorder="1" applyAlignment="1">
      <alignment horizontal="left"/>
    </xf>
    <xf numFmtId="1" fontId="34" fillId="14" borderId="1" xfId="0" applyNumberFormat="1" applyFont="1" applyFill="1" applyBorder="1" applyAlignment="1">
      <alignment horizontal="center"/>
    </xf>
    <xf numFmtId="0" fontId="34" fillId="15" borderId="1" xfId="0" applyFont="1" applyFill="1" applyBorder="1" applyAlignment="1">
      <alignment horizontal="center"/>
    </xf>
    <xf numFmtId="0" fontId="34" fillId="15" borderId="1" xfId="0" applyFont="1" applyFill="1" applyBorder="1" applyAlignment="1">
      <alignment horizontal="left"/>
    </xf>
    <xf numFmtId="1" fontId="34" fillId="15" borderId="1" xfId="0" applyNumberFormat="1" applyFont="1" applyFill="1" applyBorder="1" applyAlignment="1">
      <alignment horizontal="center"/>
    </xf>
    <xf numFmtId="0" fontId="5" fillId="0" borderId="40" xfId="18" applyFont="1" applyFill="1" applyBorder="1" applyAlignment="1">
      <alignment horizontal="left"/>
    </xf>
    <xf numFmtId="0" fontId="5" fillId="0" borderId="41" xfId="18" applyFont="1" applyFill="1" applyBorder="1" applyAlignment="1">
      <alignment horizontal="left"/>
    </xf>
    <xf numFmtId="0" fontId="4" fillId="0" borderId="40" xfId="18" applyFont="1" applyFill="1" applyBorder="1" applyAlignment="1">
      <alignment horizontal="left"/>
    </xf>
    <xf numFmtId="0" fontId="3" fillId="0" borderId="41" xfId="18" applyFont="1" applyFill="1" applyBorder="1" applyAlignment="1">
      <alignment horizontal="left"/>
    </xf>
    <xf numFmtId="0" fontId="3" fillId="0" borderId="40" xfId="18" applyFont="1" applyFill="1" applyBorder="1" applyAlignment="1">
      <alignment horizontal="left"/>
    </xf>
    <xf numFmtId="0" fontId="2" fillId="0" borderId="40" xfId="18" applyFont="1" applyFill="1" applyBorder="1" applyAlignment="1">
      <alignment horizontal="left"/>
    </xf>
    <xf numFmtId="0" fontId="2" fillId="0" borderId="41" xfId="18" applyFont="1" applyFill="1" applyBorder="1" applyAlignment="1">
      <alignment horizontal="left"/>
    </xf>
    <xf numFmtId="0" fontId="2" fillId="0" borderId="38" xfId="18" applyFont="1" applyFill="1" applyBorder="1" applyAlignment="1">
      <alignment horizontal="left"/>
    </xf>
    <xf numFmtId="0" fontId="1" fillId="0" borderId="40" xfId="18" applyFont="1" applyFill="1" applyBorder="1" applyAlignment="1">
      <alignment horizontal="left"/>
    </xf>
    <xf numFmtId="0" fontId="57" fillId="9" borderId="29" xfId="0" applyFont="1" applyFill="1" applyBorder="1" applyAlignment="1">
      <alignment horizontal="center"/>
    </xf>
    <xf numFmtId="0" fontId="57" fillId="9" borderId="30" xfId="0" applyFont="1" applyFill="1" applyBorder="1" applyAlignment="1">
      <alignment horizontal="center"/>
    </xf>
    <xf numFmtId="0" fontId="57" fillId="9" borderId="31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53" fillId="9" borderId="14" xfId="0" applyFont="1" applyFill="1" applyBorder="1" applyAlignment="1">
      <alignment horizontal="center"/>
    </xf>
  </cellXfs>
  <cellStyles count="23">
    <cellStyle name="Advarselstekst" xfId="1" builtinId="11" customBuiltin="1"/>
    <cellStyle name="Bemærk! 2" xfId="2" xr:uid="{00000000-0005-0000-0000-000001000000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Neutral" xfId="7" builtinId="28" customBuiltin="1"/>
    <cellStyle name="Normal" xfId="0" builtinId="0"/>
    <cellStyle name="Normal 2" xfId="8" xr:uid="{00000000-0005-0000-0000-000008000000}"/>
    <cellStyle name="Normal 2 2" xfId="21" xr:uid="{00000000-0005-0000-0000-000009000000}"/>
    <cellStyle name="Normal 2 3" xfId="19" xr:uid="{00000000-0005-0000-0000-00000A000000}"/>
    <cellStyle name="Normal 3" xfId="18" xr:uid="{00000000-0005-0000-0000-00000B000000}"/>
    <cellStyle name="Normal 3 2" xfId="22" xr:uid="{00000000-0005-0000-0000-00000C000000}"/>
    <cellStyle name="Normal 3 3" xfId="20" xr:uid="{00000000-0005-0000-0000-00000D000000}"/>
    <cellStyle name="Output" xfId="9" builtinId="21" customBuiltin="1"/>
    <cellStyle name="Overskrift 1" xfId="10" builtinId="16" customBuiltin="1"/>
    <cellStyle name="Overskrift 2" xfId="11" builtinId="17" customBuiltin="1"/>
    <cellStyle name="Overskrift 3" xfId="12" builtinId="18" customBuiltin="1"/>
    <cellStyle name="Overskrift 4" xfId="13" builtinId="19" customBuiltin="1"/>
    <cellStyle name="Sammenkædet celle" xfId="14" builtinId="24" customBuiltin="1"/>
    <cellStyle name="Titel" xfId="15" builtinId="15" customBuiltin="1"/>
    <cellStyle name="Total" xfId="16" builtinId="25" customBuiltin="1"/>
    <cellStyle name="Ugyldig" xfId="1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tabSelected="1" topLeftCell="A3" workbookViewId="0">
      <selection activeCell="G15" sqref="G15"/>
    </sheetView>
  </sheetViews>
  <sheetFormatPr defaultRowHeight="12.75" x14ac:dyDescent="0.2"/>
  <cols>
    <col min="1" max="1" width="5" style="29" bestFit="1" customWidth="1"/>
    <col min="2" max="2" width="7.85546875" style="29" bestFit="1" customWidth="1"/>
    <col min="3" max="3" width="39.85546875" bestFit="1" customWidth="1"/>
    <col min="4" max="4" width="10.140625" customWidth="1"/>
  </cols>
  <sheetData>
    <row r="1" spans="1:4" x14ac:dyDescent="0.2">
      <c r="A1" s="165"/>
      <c r="B1" s="166"/>
      <c r="C1" s="166"/>
      <c r="D1" s="167"/>
    </row>
    <row r="2" spans="1:4" x14ac:dyDescent="0.2">
      <c r="A2" s="30"/>
      <c r="B2" s="31"/>
      <c r="C2" s="32"/>
      <c r="D2" s="33"/>
    </row>
    <row r="3" spans="1:4" ht="16.5" thickBot="1" x14ac:dyDescent="0.3">
      <c r="A3" s="34" t="s">
        <v>6</v>
      </c>
      <c r="B3" s="35" t="s">
        <v>3</v>
      </c>
      <c r="C3" s="35" t="s">
        <v>7</v>
      </c>
      <c r="D3" s="36" t="s">
        <v>5</v>
      </c>
    </row>
    <row r="4" spans="1:4" ht="15.75" x14ac:dyDescent="0.25">
      <c r="A4" s="37"/>
      <c r="B4" s="38"/>
      <c r="C4" s="39"/>
      <c r="D4" s="40"/>
    </row>
    <row r="5" spans="1:4" ht="15.75" x14ac:dyDescent="0.25">
      <c r="A5" s="150">
        <v>1</v>
      </c>
      <c r="B5" s="150">
        <f>Hold!A196</f>
        <v>25</v>
      </c>
      <c r="C5" s="151" t="str">
        <f>Hold!B196</f>
        <v>Bofa</v>
      </c>
      <c r="D5" s="152">
        <f>Hold!Q202</f>
        <v>163.88888888888889</v>
      </c>
    </row>
    <row r="6" spans="1:4" ht="15.75" x14ac:dyDescent="0.25">
      <c r="A6" s="150">
        <v>2</v>
      </c>
      <c r="B6" s="150">
        <f>Hold!A20</f>
        <v>3</v>
      </c>
      <c r="C6" s="151" t="str">
        <f>Hold!B20</f>
        <v>Team Kruse</v>
      </c>
      <c r="D6" s="152">
        <f>Hold!Q26</f>
        <v>152.54166666666666</v>
      </c>
    </row>
    <row r="7" spans="1:4" ht="15.75" x14ac:dyDescent="0.25">
      <c r="A7" s="150">
        <v>3</v>
      </c>
      <c r="B7" s="150">
        <f>Hold!A4</f>
        <v>1</v>
      </c>
      <c r="C7" s="151" t="str">
        <f>Hold!B4</f>
        <v>Die Herren</v>
      </c>
      <c r="D7" s="152">
        <f>Hold!Q10</f>
        <v>143.73529411764707</v>
      </c>
    </row>
    <row r="8" spans="1:4" ht="15.75" x14ac:dyDescent="0.25">
      <c r="A8" s="150">
        <v>4</v>
      </c>
      <c r="B8" s="150">
        <f>Hold!A140</f>
        <v>18</v>
      </c>
      <c r="C8" s="151" t="str">
        <f>Hold!B140</f>
        <v>Nordea</v>
      </c>
      <c r="D8" s="152">
        <f>Hold!Q146</f>
        <v>141</v>
      </c>
    </row>
    <row r="9" spans="1:4" ht="15.75" x14ac:dyDescent="0.25">
      <c r="A9" s="150">
        <v>5</v>
      </c>
      <c r="B9" s="150">
        <f>Hold!A60</f>
        <v>8</v>
      </c>
      <c r="C9" s="151" t="str">
        <f>Hold!B60</f>
        <v>Jensen 1</v>
      </c>
      <c r="D9" s="152">
        <f>Hold!Q66</f>
        <v>139.89583333333334</v>
      </c>
    </row>
    <row r="10" spans="1:4" ht="15.75" x14ac:dyDescent="0.25">
      <c r="A10" s="150">
        <v>6</v>
      </c>
      <c r="B10" s="150">
        <f>Hold!A92</f>
        <v>12</v>
      </c>
      <c r="C10" s="151" t="str">
        <f>Hold!B92</f>
        <v>Papirlageret</v>
      </c>
      <c r="D10" s="152">
        <f>Hold!Q98</f>
        <v>138.75</v>
      </c>
    </row>
    <row r="11" spans="1:4" ht="15.75" x14ac:dyDescent="0.25">
      <c r="A11" s="150">
        <v>7</v>
      </c>
      <c r="B11" s="150">
        <f>Hold!A84</f>
        <v>11</v>
      </c>
      <c r="C11" s="151" t="str">
        <f>Hold!B84</f>
        <v>BOH 1'erne</v>
      </c>
      <c r="D11" s="152">
        <f>Hold!Q90</f>
        <v>130.70833333333334</v>
      </c>
    </row>
    <row r="12" spans="1:4" ht="15.75" x14ac:dyDescent="0.25">
      <c r="A12" s="150">
        <v>8</v>
      </c>
      <c r="B12" s="150">
        <f>Hold!A12</f>
        <v>2</v>
      </c>
      <c r="C12" s="151" t="str">
        <f>Hold!B12</f>
        <v>Sivertsen</v>
      </c>
      <c r="D12" s="152">
        <f>Hold!Q18</f>
        <v>1</v>
      </c>
    </row>
    <row r="13" spans="1:4" ht="15.75" x14ac:dyDescent="0.25">
      <c r="A13" s="144">
        <v>1</v>
      </c>
      <c r="B13" s="144">
        <f>Hold!A100</f>
        <v>13</v>
      </c>
      <c r="C13" s="145" t="str">
        <f>Hold!B100</f>
        <v>Fantasy Girls</v>
      </c>
      <c r="D13" s="146">
        <f>Hold!Q106</f>
        <v>134.07499999999999</v>
      </c>
    </row>
    <row r="14" spans="1:4" ht="15.75" x14ac:dyDescent="0.25">
      <c r="A14" s="144">
        <v>2</v>
      </c>
      <c r="B14" s="144">
        <f>Hold!A44</f>
        <v>6</v>
      </c>
      <c r="C14" s="145" t="str">
        <f>Hold!B44</f>
        <v>Bornfiber 2</v>
      </c>
      <c r="D14" s="146">
        <f>Hold!Q50</f>
        <v>133.66666666666666</v>
      </c>
    </row>
    <row r="15" spans="1:4" ht="15.75" x14ac:dyDescent="0.25">
      <c r="A15" s="144">
        <v>3</v>
      </c>
      <c r="B15" s="144">
        <f>Hold!A108</f>
        <v>14</v>
      </c>
      <c r="C15" s="145" t="str">
        <f>Hold!B108</f>
        <v>Nordbornholms Byggeforretning 2</v>
      </c>
      <c r="D15" s="146">
        <f>Hold!Q114</f>
        <v>127.625</v>
      </c>
    </row>
    <row r="16" spans="1:4" ht="15.75" x14ac:dyDescent="0.25">
      <c r="A16" s="144">
        <v>4</v>
      </c>
      <c r="B16" s="144">
        <f>Hold!A68</f>
        <v>9</v>
      </c>
      <c r="C16" s="145" t="str">
        <f>Hold!B68</f>
        <v>JFL</v>
      </c>
      <c r="D16" s="146">
        <f>Hold!Q74</f>
        <v>125.75</v>
      </c>
    </row>
    <row r="17" spans="1:4" ht="15.75" x14ac:dyDescent="0.25">
      <c r="A17" s="144">
        <v>5</v>
      </c>
      <c r="B17" s="144">
        <f>Hold!A124</f>
        <v>16</v>
      </c>
      <c r="C17" s="145" t="str">
        <f>Hold!B124</f>
        <v>3 Kløver</v>
      </c>
      <c r="D17" s="146">
        <f>Hold!Q130</f>
        <v>124.41666666666667</v>
      </c>
    </row>
    <row r="18" spans="1:4" ht="15.75" x14ac:dyDescent="0.25">
      <c r="A18" s="144">
        <v>6</v>
      </c>
      <c r="B18" s="144">
        <f>Hold!A116</f>
        <v>15</v>
      </c>
      <c r="C18" s="145" t="str">
        <f>Hold!B116</f>
        <v>Nordbornholms Byggeforretning 1</v>
      </c>
      <c r="D18" s="146">
        <f>Hold!Q122</f>
        <v>123.65000000000002</v>
      </c>
    </row>
    <row r="19" spans="1:4" ht="15.75" x14ac:dyDescent="0.25">
      <c r="A19" s="144">
        <v>7</v>
      </c>
      <c r="B19" s="144">
        <f>Hold!A28</f>
        <v>4</v>
      </c>
      <c r="C19" s="145" t="str">
        <f>Hold!B28</f>
        <v>Bornfiber 1</v>
      </c>
      <c r="D19" s="146">
        <f>Hold!Q34</f>
        <v>119.58333333333333</v>
      </c>
    </row>
    <row r="20" spans="1:4" ht="15.75" x14ac:dyDescent="0.25">
      <c r="A20" s="144">
        <v>8</v>
      </c>
      <c r="B20" s="144">
        <f>Hold!A236</f>
        <v>30</v>
      </c>
      <c r="C20" s="145" t="str">
        <f>Hold!B236</f>
        <v>Maler- og Gulvfirmaet 1</v>
      </c>
      <c r="D20" s="146">
        <f>Hold!Q242</f>
        <v>110.94444444444444</v>
      </c>
    </row>
    <row r="21" spans="1:4" ht="15.75" x14ac:dyDescent="0.25">
      <c r="A21" s="153">
        <v>1</v>
      </c>
      <c r="B21" s="153">
        <f>Hold!A172</f>
        <v>22</v>
      </c>
      <c r="C21" s="154" t="str">
        <f>Hold!B172</f>
        <v>Ole Almeborg 2</v>
      </c>
      <c r="D21" s="155">
        <f>Hold!Q178</f>
        <v>122.83333333333333</v>
      </c>
    </row>
    <row r="22" spans="1:4" ht="15.75" x14ac:dyDescent="0.25">
      <c r="A22" s="153">
        <v>2</v>
      </c>
      <c r="B22" s="153">
        <f>Hold!A132</f>
        <v>17</v>
      </c>
      <c r="C22" s="154" t="str">
        <f>Hold!B132</f>
        <v>El &amp; VVS Center 2</v>
      </c>
      <c r="D22" s="155">
        <f>Hold!Q138</f>
        <v>119.55555555555556</v>
      </c>
    </row>
    <row r="23" spans="1:4" ht="15.75" x14ac:dyDescent="0.25">
      <c r="A23" s="153">
        <v>3</v>
      </c>
      <c r="B23" s="153">
        <f>Hold!A52</f>
        <v>7</v>
      </c>
      <c r="C23" s="154" t="str">
        <f>Hold!B52</f>
        <v>El &amp; VVS Center 1</v>
      </c>
      <c r="D23" s="155">
        <f>Hold!Q58</f>
        <v>116.44444444444444</v>
      </c>
    </row>
    <row r="24" spans="1:4" ht="15.75" x14ac:dyDescent="0.25">
      <c r="A24" s="153">
        <v>4</v>
      </c>
      <c r="B24" s="153">
        <f>Hold!A180</f>
        <v>23</v>
      </c>
      <c r="C24" s="154" t="str">
        <f>Hold!B180</f>
        <v>Ole Almeborg 3</v>
      </c>
      <c r="D24" s="155">
        <f>Hold!Q186</f>
        <v>115.375</v>
      </c>
    </row>
    <row r="25" spans="1:4" ht="15.75" x14ac:dyDescent="0.25">
      <c r="A25" s="153">
        <v>5</v>
      </c>
      <c r="B25" s="153">
        <f>Hold!A76</f>
        <v>10</v>
      </c>
      <c r="C25" s="154" t="str">
        <f>Hold!B76</f>
        <v>Havnens Bisser</v>
      </c>
      <c r="D25" s="155">
        <f>Hold!Q82</f>
        <v>115.08333333333333</v>
      </c>
    </row>
    <row r="26" spans="1:4" ht="15.75" x14ac:dyDescent="0.25">
      <c r="A26" s="153">
        <v>6</v>
      </c>
      <c r="B26" s="153">
        <f>Hold!A36</f>
        <v>5</v>
      </c>
      <c r="C26" s="154" t="str">
        <f>Hold!B36</f>
        <v>Rønne Bowlingcenter</v>
      </c>
      <c r="D26" s="155">
        <f>Hold!Q42</f>
        <v>113.61111111111111</v>
      </c>
    </row>
    <row r="27" spans="1:4" ht="15.75" x14ac:dyDescent="0.25">
      <c r="A27" s="153">
        <v>7</v>
      </c>
      <c r="B27" s="153">
        <f>Hold!A164</f>
        <v>21</v>
      </c>
      <c r="C27" s="154" t="str">
        <f>Hold!B164</f>
        <v>Ole Almeborg 1</v>
      </c>
      <c r="D27" s="155">
        <f>Hold!Q170</f>
        <v>111.34090909090909</v>
      </c>
    </row>
    <row r="28" spans="1:4" ht="15.75" x14ac:dyDescent="0.25">
      <c r="A28" s="153">
        <v>8</v>
      </c>
      <c r="B28" s="153">
        <f>Hold!A204</f>
        <v>26</v>
      </c>
      <c r="C28" s="154" t="str">
        <f>Hold!B204</f>
        <v>BRK Team Tejn 1</v>
      </c>
      <c r="D28" s="155">
        <f>Hold!Q210</f>
        <v>95.375</v>
      </c>
    </row>
    <row r="29" spans="1:4" ht="15.75" x14ac:dyDescent="0.25">
      <c r="A29" s="147">
        <v>1</v>
      </c>
      <c r="B29" s="147">
        <f>Hold!A244</f>
        <v>31</v>
      </c>
      <c r="C29" s="148" t="str">
        <f>Hold!B244</f>
        <v>Maler- og Gulvfirmaet 2</v>
      </c>
      <c r="D29" s="149">
        <f>Hold!Q250</f>
        <v>100.05882352941177</v>
      </c>
    </row>
    <row r="30" spans="1:4" ht="15.75" x14ac:dyDescent="0.25">
      <c r="A30" s="147">
        <v>2</v>
      </c>
      <c r="B30" s="147">
        <f>Hold!A148</f>
        <v>19</v>
      </c>
      <c r="C30" s="148" t="str">
        <f>Hold!B148</f>
        <v>Svesketærterne</v>
      </c>
      <c r="D30" s="149">
        <f>Hold!Q154</f>
        <v>98.684210526315795</v>
      </c>
    </row>
    <row r="31" spans="1:4" ht="15.75" x14ac:dyDescent="0.25">
      <c r="A31" s="147">
        <v>3</v>
      </c>
      <c r="B31" s="147">
        <f>Hold!A156</f>
        <v>20</v>
      </c>
      <c r="C31" s="148" t="str">
        <f>Hold!B156</f>
        <v>SA1erne</v>
      </c>
      <c r="D31" s="149">
        <f>Hold!Q162</f>
        <v>95.521739130434781</v>
      </c>
    </row>
    <row r="32" spans="1:4" ht="15.75" x14ac:dyDescent="0.25">
      <c r="A32" s="147">
        <v>4</v>
      </c>
      <c r="B32" s="147">
        <f>Hold!A260</f>
        <v>33</v>
      </c>
      <c r="C32" s="148" t="str">
        <f>Hold!B260</f>
        <v>BRK Team Tejn 2</v>
      </c>
      <c r="D32" s="149">
        <f>Hold!Q266</f>
        <v>79.020833333333329</v>
      </c>
    </row>
    <row r="33" spans="1:4" ht="15.75" x14ac:dyDescent="0.25">
      <c r="A33" s="147">
        <v>5</v>
      </c>
      <c r="B33" s="147">
        <f>Hold!A212</f>
        <v>27</v>
      </c>
      <c r="C33" s="148" t="str">
        <f>Hold!B212</f>
        <v>BRK Team Østermarie 1</v>
      </c>
      <c r="D33" s="149">
        <f>Hold!Q218</f>
        <v>1</v>
      </c>
    </row>
    <row r="34" spans="1:4" ht="15.75" x14ac:dyDescent="0.25">
      <c r="A34" s="147">
        <v>6</v>
      </c>
      <c r="B34" s="147">
        <f>Hold!A228</f>
        <v>29</v>
      </c>
      <c r="C34" s="148" t="str">
        <f>Hold!B228</f>
        <v>BRK Team Østermarie 3</v>
      </c>
      <c r="D34" s="149">
        <f>Hold!Q234</f>
        <v>1</v>
      </c>
    </row>
    <row r="35" spans="1:4" ht="15.75" x14ac:dyDescent="0.25">
      <c r="A35" s="147">
        <v>7</v>
      </c>
      <c r="B35" s="147">
        <f>Hold!A252</f>
        <v>32</v>
      </c>
      <c r="C35" s="148" t="str">
        <f>Hold!B252</f>
        <v>Maler- og Gulvfirmaet 3</v>
      </c>
      <c r="D35" s="149">
        <f>Hold!Q258</f>
        <v>1</v>
      </c>
    </row>
    <row r="36" spans="1:4" ht="15.75" x14ac:dyDescent="0.25">
      <c r="A36" s="147">
        <v>8</v>
      </c>
      <c r="B36" s="147">
        <f>Hold!A220</f>
        <v>28</v>
      </c>
      <c r="C36" s="148" t="str">
        <f>Hold!B220</f>
        <v>BRK Team Østermarie 2</v>
      </c>
      <c r="D36" s="149">
        <f>Hold!Q226</f>
        <v>1</v>
      </c>
    </row>
    <row r="37" spans="1:4" ht="15.75" x14ac:dyDescent="0.25">
      <c r="A37" s="74">
        <v>33</v>
      </c>
      <c r="B37" s="91">
        <f>Hold!A188</f>
        <v>24</v>
      </c>
      <c r="C37" s="92">
        <f>Hold!B188</f>
        <v>0</v>
      </c>
      <c r="D37" s="93">
        <f>Hold!Q194</f>
        <v>1</v>
      </c>
    </row>
    <row r="38" spans="1:4" ht="15.75" x14ac:dyDescent="0.25">
      <c r="A38" s="74">
        <v>34</v>
      </c>
      <c r="B38" s="91">
        <f>Hold!A268</f>
        <v>34</v>
      </c>
      <c r="C38" s="92">
        <f>Hold!B268</f>
        <v>0</v>
      </c>
      <c r="D38" s="93">
        <f>Hold!Q274</f>
        <v>1</v>
      </c>
    </row>
    <row r="39" spans="1:4" ht="15.75" x14ac:dyDescent="0.25">
      <c r="A39" s="74">
        <v>35</v>
      </c>
      <c r="B39" s="91">
        <f>Hold!A276</f>
        <v>35</v>
      </c>
      <c r="C39" s="92">
        <f>Hold!B276</f>
        <v>0</v>
      </c>
      <c r="D39" s="93">
        <f>Hold!Q282</f>
        <v>1</v>
      </c>
    </row>
    <row r="40" spans="1:4" ht="15.75" x14ac:dyDescent="0.25">
      <c r="A40" s="74">
        <v>36</v>
      </c>
      <c r="B40" s="91">
        <f>Hold!A284</f>
        <v>36</v>
      </c>
      <c r="C40" s="92">
        <f>Hold!B284</f>
        <v>0</v>
      </c>
      <c r="D40" s="93">
        <f>Hold!Q290</f>
        <v>1</v>
      </c>
    </row>
    <row r="41" spans="1:4" ht="15.75" x14ac:dyDescent="0.25">
      <c r="A41" s="74">
        <v>37</v>
      </c>
      <c r="B41" s="91">
        <f>Hold!A292</f>
        <v>37</v>
      </c>
      <c r="C41" s="92">
        <f>Hold!B292</f>
        <v>0</v>
      </c>
      <c r="D41" s="93">
        <f>Hold!Q298</f>
        <v>1</v>
      </c>
    </row>
    <row r="42" spans="1:4" ht="15.75" x14ac:dyDescent="0.25">
      <c r="A42" s="74">
        <v>38</v>
      </c>
      <c r="B42" s="91">
        <f>Hold!A300</f>
        <v>38</v>
      </c>
      <c r="C42" s="92">
        <f>Hold!B300</f>
        <v>0</v>
      </c>
      <c r="D42" s="93">
        <f>Hold!Q306</f>
        <v>1</v>
      </c>
    </row>
    <row r="43" spans="1:4" ht="15.75" x14ac:dyDescent="0.25">
      <c r="A43" s="74">
        <v>39</v>
      </c>
      <c r="B43" s="91">
        <f>Hold!A308</f>
        <v>39</v>
      </c>
      <c r="C43" s="92">
        <f>Hold!B308</f>
        <v>0</v>
      </c>
      <c r="D43" s="93">
        <f>Hold!Q314</f>
        <v>1</v>
      </c>
    </row>
    <row r="44" spans="1:4" ht="15.75" x14ac:dyDescent="0.25">
      <c r="A44" s="74">
        <v>40</v>
      </c>
      <c r="B44" s="91">
        <f>Hold!A316</f>
        <v>40</v>
      </c>
      <c r="C44" s="92">
        <f>Hold!B316</f>
        <v>0</v>
      </c>
      <c r="D44" s="93">
        <f>Hold!Q322</f>
        <v>1</v>
      </c>
    </row>
  </sheetData>
  <sortState xmlns:xlrd2="http://schemas.microsoft.com/office/spreadsheetml/2017/richdata2" ref="B5:D12">
    <sortCondition descending="1" ref="D5:D12"/>
  </sortState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3"/>
  <sheetViews>
    <sheetView topLeftCell="A232" zoomScaleNormal="100" workbookViewId="0">
      <selection activeCell="J185" sqref="J185"/>
    </sheetView>
  </sheetViews>
  <sheetFormatPr defaultRowHeight="12.75" x14ac:dyDescent="0.2"/>
  <cols>
    <col min="1" max="1" width="3.5703125" style="2" customWidth="1"/>
    <col min="2" max="2" width="27.7109375" style="3" customWidth="1"/>
    <col min="3" max="8" width="5.7109375" customWidth="1"/>
    <col min="9" max="9" width="7.5703125" style="1" customWidth="1"/>
    <col min="10" max="14" width="5.7109375" style="41" customWidth="1"/>
    <col min="15" max="16" width="5.7109375" customWidth="1"/>
    <col min="17" max="17" width="7.5703125" style="1" customWidth="1"/>
    <col min="18" max="18" width="3" style="50" hidden="1" customWidth="1"/>
    <col min="21" max="21" width="9.5703125" bestFit="1" customWidth="1"/>
  </cols>
  <sheetData>
    <row r="1" spans="1:20" ht="30.75" customHeight="1" x14ac:dyDescent="0.4">
      <c r="A1" s="168" t="s">
        <v>138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20" ht="13.5" thickBot="1" x14ac:dyDescent="0.25"/>
    <row r="3" spans="1:20" s="1" customFormat="1" ht="13.5" thickBot="1" x14ac:dyDescent="0.25">
      <c r="A3" s="2" t="s">
        <v>9</v>
      </c>
      <c r="B3" s="14" t="s">
        <v>0</v>
      </c>
      <c r="C3" s="15">
        <v>1</v>
      </c>
      <c r="D3" s="15">
        <v>2</v>
      </c>
      <c r="E3" s="15">
        <v>3</v>
      </c>
      <c r="F3" s="15">
        <v>4</v>
      </c>
      <c r="G3" s="15">
        <v>5</v>
      </c>
      <c r="H3" s="15">
        <v>6</v>
      </c>
      <c r="I3" s="15" t="s">
        <v>1</v>
      </c>
      <c r="J3" s="65">
        <v>7</v>
      </c>
      <c r="K3" s="65">
        <v>8</v>
      </c>
      <c r="L3" s="65">
        <v>9</v>
      </c>
      <c r="M3" s="65">
        <v>10</v>
      </c>
      <c r="N3" s="65">
        <v>11</v>
      </c>
      <c r="O3" s="15">
        <v>12</v>
      </c>
      <c r="P3" s="15">
        <v>13</v>
      </c>
      <c r="Q3" s="16" t="s">
        <v>1</v>
      </c>
      <c r="R3" s="51"/>
    </row>
    <row r="4" spans="1:20" ht="13.5" thickBot="1" x14ac:dyDescent="0.25">
      <c r="A4" s="82">
        <v>1</v>
      </c>
      <c r="B4" s="116" t="s">
        <v>64</v>
      </c>
      <c r="C4" s="78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42"/>
    </row>
    <row r="5" spans="1:20" ht="15" x14ac:dyDescent="0.25">
      <c r="A5" s="83">
        <v>1</v>
      </c>
      <c r="B5" s="103" t="s">
        <v>15</v>
      </c>
      <c r="C5" s="77">
        <f>111+176</f>
        <v>287</v>
      </c>
      <c r="D5" s="25">
        <f>121+152</f>
        <v>273</v>
      </c>
      <c r="E5" s="25">
        <f>127+162</f>
        <v>289</v>
      </c>
      <c r="F5" s="25">
        <f>163+121</f>
        <v>284</v>
      </c>
      <c r="G5" s="25"/>
      <c r="H5" s="76">
        <f>147+154</f>
        <v>301</v>
      </c>
      <c r="I5" s="28">
        <f>AVERAGE(C5:H5)/2</f>
        <v>143.4</v>
      </c>
      <c r="J5" s="66">
        <f>136+123</f>
        <v>259</v>
      </c>
      <c r="K5" s="66"/>
      <c r="L5" s="66">
        <f>149+154</f>
        <v>303</v>
      </c>
      <c r="M5" s="66">
        <f>136+133</f>
        <v>269</v>
      </c>
      <c r="N5" s="66">
        <f>166+115</f>
        <v>281</v>
      </c>
      <c r="O5" s="25">
        <f>186+149</f>
        <v>335</v>
      </c>
      <c r="P5" s="25"/>
      <c r="Q5" s="28">
        <f>AVERAGE(J5:P5)/2</f>
        <v>144.69999999999999</v>
      </c>
      <c r="R5" s="57">
        <f>COUNTIF(J5:P5,"&gt;1")</f>
        <v>5</v>
      </c>
      <c r="S5" s="12"/>
      <c r="T5" s="23"/>
    </row>
    <row r="6" spans="1:20" ht="15" x14ac:dyDescent="0.25">
      <c r="A6" s="83">
        <v>1</v>
      </c>
      <c r="B6" s="105" t="s">
        <v>26</v>
      </c>
      <c r="C6" s="24">
        <f>166+128</f>
        <v>294</v>
      </c>
      <c r="D6" s="58"/>
      <c r="E6" s="58">
        <f>150+164</f>
        <v>314</v>
      </c>
      <c r="F6" s="58">
        <f>102+124</f>
        <v>226</v>
      </c>
      <c r="G6" s="58">
        <v>321</v>
      </c>
      <c r="H6" s="43"/>
      <c r="I6" s="28">
        <f t="shared" ref="I6:I9" si="0">AVERAGE(C6:H6)/2</f>
        <v>144.375</v>
      </c>
      <c r="J6" s="67">
        <f>157+180</f>
        <v>337</v>
      </c>
      <c r="K6" s="67">
        <f>167+141</f>
        <v>308</v>
      </c>
      <c r="L6" s="67">
        <f>131+132</f>
        <v>263</v>
      </c>
      <c r="M6" s="67">
        <f>161+127</f>
        <v>288</v>
      </c>
      <c r="N6" s="67">
        <f>136+154</f>
        <v>290</v>
      </c>
      <c r="O6" s="7">
        <f>150+176</f>
        <v>326</v>
      </c>
      <c r="P6" s="7"/>
      <c r="Q6" s="28">
        <f t="shared" ref="Q6:Q9" si="1">AVERAGE(J6:P6)/2</f>
        <v>151</v>
      </c>
      <c r="R6" s="62">
        <f t="shared" ref="R6:R9" si="2">COUNTIF(J6:P6,"&gt;1")</f>
        <v>6</v>
      </c>
    </row>
    <row r="7" spans="1:20" ht="15" x14ac:dyDescent="0.25">
      <c r="A7" s="83">
        <v>1</v>
      </c>
      <c r="B7" s="105" t="s">
        <v>22</v>
      </c>
      <c r="C7" s="24">
        <f>164+164</f>
        <v>328</v>
      </c>
      <c r="D7" s="58">
        <f>160+167</f>
        <v>327</v>
      </c>
      <c r="E7" s="58"/>
      <c r="F7" s="58">
        <f>100+163</f>
        <v>263</v>
      </c>
      <c r="G7" s="58">
        <v>299</v>
      </c>
      <c r="H7" s="43">
        <f>139+157</f>
        <v>296</v>
      </c>
      <c r="I7" s="28">
        <f t="shared" si="0"/>
        <v>151.30000000000001</v>
      </c>
      <c r="J7" s="67"/>
      <c r="K7" s="67">
        <f>133+138</f>
        <v>271</v>
      </c>
      <c r="L7" s="67" t="s">
        <v>159</v>
      </c>
      <c r="M7" s="67">
        <f>123+130</f>
        <v>253</v>
      </c>
      <c r="N7" s="67">
        <f>153+146</f>
        <v>299</v>
      </c>
      <c r="O7" s="7">
        <f>142+136</f>
        <v>278</v>
      </c>
      <c r="P7" s="7"/>
      <c r="Q7" s="28">
        <f t="shared" si="1"/>
        <v>137.625</v>
      </c>
      <c r="R7" s="62">
        <f t="shared" si="2"/>
        <v>4</v>
      </c>
      <c r="T7" s="23"/>
    </row>
    <row r="8" spans="1:20" ht="15" x14ac:dyDescent="0.25">
      <c r="A8" s="83">
        <v>1</v>
      </c>
      <c r="B8" s="104"/>
      <c r="C8" s="24">
        <v>0</v>
      </c>
      <c r="D8" s="58"/>
      <c r="E8" s="58"/>
      <c r="F8" s="58"/>
      <c r="G8" s="58"/>
      <c r="H8" s="43"/>
      <c r="I8" s="28">
        <v>0</v>
      </c>
      <c r="J8" s="67">
        <v>0</v>
      </c>
      <c r="K8" s="67"/>
      <c r="L8" s="67"/>
      <c r="M8" s="67"/>
      <c r="N8" s="67"/>
      <c r="O8" s="7"/>
      <c r="P8" s="7"/>
      <c r="Q8" s="28">
        <f t="shared" si="1"/>
        <v>0</v>
      </c>
      <c r="R8" s="62">
        <f t="shared" si="2"/>
        <v>0</v>
      </c>
    </row>
    <row r="9" spans="1:20" ht="15.75" thickBot="1" x14ac:dyDescent="0.3">
      <c r="A9" s="84">
        <v>1</v>
      </c>
      <c r="B9" s="126" t="s">
        <v>110</v>
      </c>
      <c r="C9" s="75"/>
      <c r="D9" s="13">
        <f>184+193</f>
        <v>377</v>
      </c>
      <c r="E9" s="13">
        <f>155+149</f>
        <v>304</v>
      </c>
      <c r="F9" s="13"/>
      <c r="G9" s="13">
        <v>261</v>
      </c>
      <c r="H9" s="44">
        <f>158+162</f>
        <v>320</v>
      </c>
      <c r="I9" s="28">
        <f t="shared" si="0"/>
        <v>157.75</v>
      </c>
      <c r="J9" s="67">
        <f>116+153</f>
        <v>269</v>
      </c>
      <c r="K9" s="67">
        <f>125+133</f>
        <v>258</v>
      </c>
      <c r="L9" s="67"/>
      <c r="M9" s="67"/>
      <c r="N9" s="67"/>
      <c r="O9" s="7"/>
      <c r="P9" s="7"/>
      <c r="Q9" s="28">
        <f t="shared" si="1"/>
        <v>131.75</v>
      </c>
      <c r="R9" s="62">
        <f t="shared" si="2"/>
        <v>2</v>
      </c>
    </row>
    <row r="10" spans="1:20" ht="12.75" hidden="1" customHeight="1" x14ac:dyDescent="0.2">
      <c r="A10" s="5"/>
      <c r="B10" s="8"/>
      <c r="C10" s="18"/>
      <c r="D10" s="18"/>
      <c r="E10" s="18"/>
      <c r="F10" s="18"/>
      <c r="G10" s="18"/>
      <c r="H10" s="18"/>
      <c r="I10" s="23"/>
      <c r="J10" s="68"/>
      <c r="K10" s="68"/>
      <c r="L10" s="68"/>
      <c r="M10" s="68"/>
      <c r="N10" s="68"/>
      <c r="O10" s="18"/>
      <c r="P10" s="18"/>
      <c r="Q10" s="61">
        <f>SUM(J5:P9)/(R10*2)</f>
        <v>143.73529411764707</v>
      </c>
      <c r="R10" s="50">
        <f>SUM(R5:R9)</f>
        <v>17</v>
      </c>
      <c r="S10" s="23"/>
    </row>
    <row r="11" spans="1:20" ht="13.5" thickBot="1" x14ac:dyDescent="0.25">
      <c r="A11" s="5"/>
      <c r="B11" s="8"/>
      <c r="C11" s="18"/>
      <c r="D11" s="6"/>
      <c r="E11" s="6"/>
      <c r="F11" s="6"/>
      <c r="G11" s="6"/>
      <c r="H11" s="6"/>
      <c r="I11" s="22"/>
      <c r="J11" s="69"/>
      <c r="K11" s="69"/>
      <c r="L11" s="69"/>
      <c r="M11" s="69"/>
      <c r="N11" s="69"/>
      <c r="O11" s="6"/>
      <c r="P11" s="6"/>
      <c r="Q11" s="4"/>
    </row>
    <row r="12" spans="1:20" ht="13.5" thickBot="1" x14ac:dyDescent="0.25">
      <c r="A12" s="82">
        <v>2</v>
      </c>
      <c r="B12" s="116" t="s">
        <v>36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  <c r="Q12" s="27"/>
    </row>
    <row r="13" spans="1:20" ht="15" x14ac:dyDescent="0.25">
      <c r="A13" s="83">
        <v>2</v>
      </c>
      <c r="B13" s="107" t="s">
        <v>46</v>
      </c>
      <c r="C13" s="77">
        <f>110+111</f>
        <v>221</v>
      </c>
      <c r="D13" s="25">
        <f>167+101</f>
        <v>268</v>
      </c>
      <c r="E13" s="25">
        <f>171+118</f>
        <v>289</v>
      </c>
      <c r="F13" s="25">
        <f>144+115</f>
        <v>259</v>
      </c>
      <c r="G13" s="25">
        <f>130+130</f>
        <v>260</v>
      </c>
      <c r="H13" s="76">
        <v>258</v>
      </c>
      <c r="I13" s="28">
        <f>AVERAGE(C13:H13)/2</f>
        <v>129.58333333333334</v>
      </c>
      <c r="J13" s="66">
        <v>2</v>
      </c>
      <c r="K13" s="66"/>
      <c r="L13" s="66"/>
      <c r="M13" s="66"/>
      <c r="N13" s="66"/>
      <c r="O13" s="25"/>
      <c r="P13" s="25"/>
      <c r="Q13" s="28">
        <f>AVERAGE(J13:P13)/2</f>
        <v>1</v>
      </c>
      <c r="R13" s="62">
        <f>COUNTIF(J13:P13,"&gt;1")</f>
        <v>1</v>
      </c>
    </row>
    <row r="14" spans="1:20" ht="15" x14ac:dyDescent="0.25">
      <c r="A14" s="83">
        <v>2</v>
      </c>
      <c r="B14" s="108" t="s">
        <v>47</v>
      </c>
      <c r="C14" s="24">
        <f>161+116</f>
        <v>277</v>
      </c>
      <c r="D14" s="58">
        <f>111+146</f>
        <v>257</v>
      </c>
      <c r="E14" s="58">
        <f>127+147</f>
        <v>274</v>
      </c>
      <c r="F14" s="58">
        <f>143+126</f>
        <v>269</v>
      </c>
      <c r="G14" s="58">
        <f>135+135</f>
        <v>270</v>
      </c>
      <c r="H14" s="43">
        <v>268</v>
      </c>
      <c r="I14" s="28">
        <f t="shared" ref="I14:I17" si="3">AVERAGE(C14:H14)/2</f>
        <v>134.58333333333334</v>
      </c>
      <c r="J14" s="67">
        <v>2</v>
      </c>
      <c r="K14" s="67"/>
      <c r="L14" s="67"/>
      <c r="M14" s="67"/>
      <c r="N14" s="67"/>
      <c r="O14" s="58"/>
      <c r="P14" s="58"/>
      <c r="Q14" s="28">
        <f t="shared" ref="Q14:Q17" si="4">AVERAGE(J14:P14)/2</f>
        <v>1</v>
      </c>
      <c r="R14" s="62">
        <f t="shared" ref="R14:R17" si="5">COUNTIF(J14:P14,"&gt;1")</f>
        <v>1</v>
      </c>
    </row>
    <row r="15" spans="1:20" ht="15" x14ac:dyDescent="0.25">
      <c r="A15" s="83">
        <v>2</v>
      </c>
      <c r="B15" s="108" t="s">
        <v>48</v>
      </c>
      <c r="C15" s="24">
        <f>119+133</f>
        <v>252</v>
      </c>
      <c r="D15" s="58">
        <f>161+132</f>
        <v>293</v>
      </c>
      <c r="E15" s="58">
        <f>111+88</f>
        <v>199</v>
      </c>
      <c r="F15" s="58">
        <f>155+109</f>
        <v>264</v>
      </c>
      <c r="G15" s="58">
        <f>126+126</f>
        <v>252</v>
      </c>
      <c r="H15" s="43">
        <v>263</v>
      </c>
      <c r="I15" s="28">
        <f t="shared" si="3"/>
        <v>126.91666666666667</v>
      </c>
      <c r="J15" s="67">
        <v>2</v>
      </c>
      <c r="K15" s="67"/>
      <c r="L15" s="67"/>
      <c r="M15" s="67"/>
      <c r="N15" s="67"/>
      <c r="O15" s="58"/>
      <c r="P15" s="58"/>
      <c r="Q15" s="28">
        <f t="shared" si="4"/>
        <v>1</v>
      </c>
      <c r="R15" s="62">
        <f t="shared" si="5"/>
        <v>1</v>
      </c>
      <c r="T15" s="23"/>
    </row>
    <row r="16" spans="1:20" ht="15" x14ac:dyDescent="0.25">
      <c r="A16" s="83">
        <v>2</v>
      </c>
      <c r="B16" s="138" t="s">
        <v>142</v>
      </c>
      <c r="C16" s="24">
        <f>144+132</f>
        <v>276</v>
      </c>
      <c r="D16" s="58">
        <f>140+152</f>
        <v>292</v>
      </c>
      <c r="E16" s="58">
        <f>189+154</f>
        <v>343</v>
      </c>
      <c r="F16" s="58">
        <f>143+137</f>
        <v>280</v>
      </c>
      <c r="G16" s="58">
        <f>149+149</f>
        <v>298</v>
      </c>
      <c r="H16" s="43">
        <v>279</v>
      </c>
      <c r="I16" s="28">
        <f t="shared" si="3"/>
        <v>147.33333333333334</v>
      </c>
      <c r="J16" s="67">
        <v>2</v>
      </c>
      <c r="K16" s="67"/>
      <c r="L16" s="67"/>
      <c r="M16" s="67"/>
      <c r="N16" s="67"/>
      <c r="O16" s="58"/>
      <c r="P16" s="58"/>
      <c r="Q16" s="28">
        <f t="shared" si="4"/>
        <v>1</v>
      </c>
      <c r="R16" s="62">
        <f t="shared" si="5"/>
        <v>1</v>
      </c>
    </row>
    <row r="17" spans="1:20" ht="15.75" thickBot="1" x14ac:dyDescent="0.3">
      <c r="A17" s="84">
        <v>2</v>
      </c>
      <c r="B17" s="90" t="s">
        <v>16</v>
      </c>
      <c r="C17" s="75">
        <v>0</v>
      </c>
      <c r="D17" s="13"/>
      <c r="E17" s="13"/>
      <c r="F17" s="13"/>
      <c r="G17" s="13"/>
      <c r="H17" s="44"/>
      <c r="I17" s="28">
        <f t="shared" si="3"/>
        <v>0</v>
      </c>
      <c r="J17" s="67">
        <v>0</v>
      </c>
      <c r="K17" s="67"/>
      <c r="L17" s="67"/>
      <c r="M17" s="67"/>
      <c r="N17" s="67"/>
      <c r="O17" s="58"/>
      <c r="P17" s="58"/>
      <c r="Q17" s="28">
        <f t="shared" si="4"/>
        <v>0</v>
      </c>
      <c r="R17" s="62">
        <f t="shared" si="5"/>
        <v>0</v>
      </c>
    </row>
    <row r="18" spans="1:20" hidden="1" x14ac:dyDescent="0.2">
      <c r="A18" s="5"/>
      <c r="B18" s="8"/>
      <c r="C18" s="18"/>
      <c r="D18" s="18"/>
      <c r="E18" s="18"/>
      <c r="F18" s="18"/>
      <c r="G18" s="18"/>
      <c r="H18" s="18"/>
      <c r="I18" s="61"/>
      <c r="J18" s="68"/>
      <c r="K18" s="68"/>
      <c r="L18" s="68"/>
      <c r="M18" s="68"/>
      <c r="N18" s="68"/>
      <c r="O18" s="18"/>
      <c r="P18" s="18"/>
      <c r="Q18" s="61">
        <f>SUM(J13:P17)/(R18*2)</f>
        <v>1</v>
      </c>
      <c r="R18" s="62">
        <f>SUM(R13:R17)</f>
        <v>4</v>
      </c>
    </row>
    <row r="19" spans="1:20" ht="13.5" thickBot="1" x14ac:dyDescent="0.25">
      <c r="A19" s="5"/>
      <c r="B19" s="8"/>
      <c r="C19" s="18"/>
      <c r="D19" s="6"/>
      <c r="E19" s="6"/>
      <c r="F19" s="6"/>
      <c r="G19" s="6"/>
      <c r="H19" s="6"/>
      <c r="I19" s="4"/>
      <c r="J19" s="69"/>
      <c r="K19" s="69"/>
      <c r="L19" s="69"/>
      <c r="M19" s="69"/>
      <c r="N19" s="69"/>
      <c r="O19" s="6"/>
      <c r="P19" s="6"/>
      <c r="Q19" s="4"/>
      <c r="S19" s="6"/>
      <c r="T19" s="6"/>
    </row>
    <row r="20" spans="1:20" ht="13.5" thickBot="1" x14ac:dyDescent="0.25">
      <c r="A20" s="82">
        <v>3</v>
      </c>
      <c r="B20" s="116" t="s">
        <v>27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80"/>
      <c r="Q20" s="26"/>
      <c r="S20" s="6"/>
      <c r="T20" s="6"/>
    </row>
    <row r="21" spans="1:20" ht="15" x14ac:dyDescent="0.25">
      <c r="A21" s="83">
        <v>3</v>
      </c>
      <c r="B21" s="100" t="s">
        <v>24</v>
      </c>
      <c r="C21" s="77">
        <f>136+122</f>
        <v>258</v>
      </c>
      <c r="D21" s="25">
        <f>132+115</f>
        <v>247</v>
      </c>
      <c r="E21" s="25">
        <f>134+106</f>
        <v>240</v>
      </c>
      <c r="F21" s="25">
        <f>151+123</f>
        <v>274</v>
      </c>
      <c r="G21" s="25">
        <f>118+124</f>
        <v>242</v>
      </c>
      <c r="H21" s="76">
        <f>138+127</f>
        <v>265</v>
      </c>
      <c r="I21" s="28">
        <f>AVERAGE(C21:H21)/2</f>
        <v>127.16666666666667</v>
      </c>
      <c r="J21" s="66">
        <f>143+122</f>
        <v>265</v>
      </c>
      <c r="K21" s="66">
        <v>288</v>
      </c>
      <c r="L21" s="66">
        <f>130+146</f>
        <v>276</v>
      </c>
      <c r="M21" s="66">
        <f>124+99</f>
        <v>223</v>
      </c>
      <c r="N21" s="66">
        <f>137+113</f>
        <v>250</v>
      </c>
      <c r="O21" s="25">
        <f>130+125</f>
        <v>255</v>
      </c>
      <c r="P21" s="25"/>
      <c r="Q21" s="28">
        <f>AVERAGE(J21:P21)/2</f>
        <v>129.75</v>
      </c>
      <c r="R21" s="62">
        <f>COUNTIF(J21:P21,"&gt;1")</f>
        <v>6</v>
      </c>
      <c r="S21" s="6"/>
      <c r="T21" s="6"/>
    </row>
    <row r="22" spans="1:20" ht="15" x14ac:dyDescent="0.25">
      <c r="A22" s="83">
        <v>3</v>
      </c>
      <c r="B22" s="98" t="s">
        <v>10</v>
      </c>
      <c r="C22" s="24">
        <v>0</v>
      </c>
      <c r="D22" s="58"/>
      <c r="E22" s="58"/>
      <c r="F22" s="58"/>
      <c r="G22" s="58"/>
      <c r="H22" s="43"/>
      <c r="I22" s="28">
        <f t="shared" ref="I22:I25" si="6">AVERAGE(C22:H22)/2</f>
        <v>0</v>
      </c>
      <c r="J22" s="67">
        <v>0</v>
      </c>
      <c r="K22" s="67"/>
      <c r="L22" s="67"/>
      <c r="M22" s="67"/>
      <c r="N22" s="67"/>
      <c r="O22" s="58"/>
      <c r="P22" s="58"/>
      <c r="Q22" s="28">
        <f t="shared" ref="Q22:Q25" si="7">AVERAGE(J22:P22)/2</f>
        <v>0</v>
      </c>
      <c r="R22" s="62">
        <f t="shared" ref="R22:R25" si="8">COUNTIF(J22:P22,"&gt;1")</f>
        <v>0</v>
      </c>
      <c r="S22" s="6"/>
      <c r="T22" s="6"/>
    </row>
    <row r="23" spans="1:20" ht="15" x14ac:dyDescent="0.25">
      <c r="A23" s="83">
        <v>3</v>
      </c>
      <c r="B23" s="142" t="s">
        <v>152</v>
      </c>
      <c r="C23" s="24">
        <f>142+138</f>
        <v>280</v>
      </c>
      <c r="D23" s="58">
        <f>140+153</f>
        <v>293</v>
      </c>
      <c r="E23" s="58">
        <f>165+131</f>
        <v>296</v>
      </c>
      <c r="F23" s="58">
        <f>144+183</f>
        <v>327</v>
      </c>
      <c r="G23" s="58">
        <f>177+200</f>
        <v>377</v>
      </c>
      <c r="H23" s="43">
        <f>160+159</f>
        <v>319</v>
      </c>
      <c r="I23" s="28">
        <f t="shared" si="6"/>
        <v>157.66666666666666</v>
      </c>
      <c r="J23" s="67">
        <f>168+220</f>
        <v>388</v>
      </c>
      <c r="K23" s="67">
        <v>302</v>
      </c>
      <c r="L23" s="67">
        <f>171+212</f>
        <v>383</v>
      </c>
      <c r="M23" s="67">
        <f>177+149</f>
        <v>326</v>
      </c>
      <c r="N23" s="67">
        <f>193+138</f>
        <v>331</v>
      </c>
      <c r="O23" s="58">
        <f>185+179</f>
        <v>364</v>
      </c>
      <c r="P23" s="58"/>
      <c r="Q23" s="28">
        <f t="shared" si="7"/>
        <v>174.5</v>
      </c>
      <c r="R23" s="62">
        <f t="shared" si="8"/>
        <v>6</v>
      </c>
      <c r="S23" s="6"/>
      <c r="T23" s="6"/>
    </row>
    <row r="24" spans="1:20" ht="15" x14ac:dyDescent="0.25">
      <c r="A24" s="83">
        <v>3</v>
      </c>
      <c r="B24" s="122" t="s">
        <v>81</v>
      </c>
      <c r="C24" s="24">
        <f>139+200</f>
        <v>339</v>
      </c>
      <c r="D24" s="58">
        <f>203+135</f>
        <v>338</v>
      </c>
      <c r="E24" s="58">
        <f>167+140</f>
        <v>307</v>
      </c>
      <c r="F24" s="58">
        <f>159+123</f>
        <v>282</v>
      </c>
      <c r="G24" s="58">
        <f>193+139</f>
        <v>332</v>
      </c>
      <c r="H24" s="43">
        <f>165+147</f>
        <v>312</v>
      </c>
      <c r="I24" s="28">
        <f t="shared" si="6"/>
        <v>159.16666666666666</v>
      </c>
      <c r="J24" s="67">
        <f>194+198</f>
        <v>392</v>
      </c>
      <c r="K24" s="67">
        <v>363</v>
      </c>
      <c r="L24" s="67">
        <f>179+142</f>
        <v>321</v>
      </c>
      <c r="M24" s="67">
        <f>157+148</f>
        <v>305</v>
      </c>
      <c r="N24" s="67">
        <f>152+126</f>
        <v>278</v>
      </c>
      <c r="O24" s="58">
        <f>172+178</f>
        <v>350</v>
      </c>
      <c r="P24" s="58"/>
      <c r="Q24" s="28">
        <f t="shared" si="7"/>
        <v>167.41666666666666</v>
      </c>
      <c r="R24" s="62">
        <f t="shared" si="8"/>
        <v>6</v>
      </c>
      <c r="S24" s="6"/>
      <c r="T24" s="5"/>
    </row>
    <row r="25" spans="1:20" ht="15.75" thickBot="1" x14ac:dyDescent="0.3">
      <c r="A25" s="84">
        <v>3</v>
      </c>
      <c r="B25" s="126" t="s">
        <v>89</v>
      </c>
      <c r="C25" s="75">
        <f>131+116</f>
        <v>247</v>
      </c>
      <c r="D25" s="13">
        <f>148+154</f>
        <v>302</v>
      </c>
      <c r="E25" s="13">
        <f>165+117</f>
        <v>282</v>
      </c>
      <c r="F25" s="13">
        <f>156+132</f>
        <v>288</v>
      </c>
      <c r="G25" s="13">
        <f>101+120</f>
        <v>221</v>
      </c>
      <c r="H25" s="44">
        <f>105+140</f>
        <v>245</v>
      </c>
      <c r="I25" s="28">
        <f t="shared" si="6"/>
        <v>132.08333333333334</v>
      </c>
      <c r="J25" s="67">
        <f>127+106</f>
        <v>233</v>
      </c>
      <c r="K25" s="67">
        <v>280</v>
      </c>
      <c r="L25" s="67">
        <f>124+131</f>
        <v>255</v>
      </c>
      <c r="M25" s="67">
        <f>144+144</f>
        <v>288</v>
      </c>
      <c r="N25" s="67">
        <f>165+147</f>
        <v>312</v>
      </c>
      <c r="O25" s="58">
        <f>145+149</f>
        <v>294</v>
      </c>
      <c r="P25" s="58"/>
      <c r="Q25" s="28">
        <f t="shared" si="7"/>
        <v>138.5</v>
      </c>
      <c r="R25" s="62">
        <f t="shared" si="8"/>
        <v>6</v>
      </c>
      <c r="S25" s="6"/>
      <c r="T25" s="5"/>
    </row>
    <row r="26" spans="1:20" hidden="1" x14ac:dyDescent="0.2">
      <c r="A26" s="5"/>
      <c r="B26" s="8"/>
      <c r="C26" s="18"/>
      <c r="D26" s="18"/>
      <c r="E26" s="18"/>
      <c r="F26" s="18"/>
      <c r="G26" s="18"/>
      <c r="H26" s="18"/>
      <c r="I26" s="61"/>
      <c r="J26" s="68"/>
      <c r="K26" s="68"/>
      <c r="L26" s="68"/>
      <c r="M26" s="68"/>
      <c r="N26" s="68"/>
      <c r="O26" s="18"/>
      <c r="P26" s="18"/>
      <c r="Q26" s="61">
        <f>SUM(J21:P25)/(R26*2)</f>
        <v>152.54166666666666</v>
      </c>
      <c r="R26" s="62">
        <f>SUM(R21:R25)</f>
        <v>24</v>
      </c>
      <c r="S26" s="6"/>
      <c r="T26" s="5"/>
    </row>
    <row r="27" spans="1:20" ht="13.5" thickBot="1" x14ac:dyDescent="0.25">
      <c r="A27" s="5"/>
      <c r="B27" s="8"/>
      <c r="C27" s="18"/>
      <c r="D27" s="6"/>
      <c r="E27" s="6"/>
      <c r="F27" s="6"/>
      <c r="G27" s="6"/>
      <c r="H27" s="6"/>
      <c r="I27" s="4"/>
      <c r="J27" s="69"/>
      <c r="K27" s="69"/>
      <c r="L27" s="69"/>
      <c r="M27" s="69"/>
      <c r="N27" s="69"/>
      <c r="O27" s="6"/>
      <c r="P27" s="6"/>
      <c r="Q27" s="4"/>
      <c r="S27" s="6"/>
      <c r="T27" s="5"/>
    </row>
    <row r="28" spans="1:20" ht="13.5" thickBot="1" x14ac:dyDescent="0.25">
      <c r="A28" s="82">
        <f>A20+1</f>
        <v>4</v>
      </c>
      <c r="B28" s="116" t="s">
        <v>111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80"/>
      <c r="Q28" s="26"/>
      <c r="S28" s="6"/>
      <c r="T28" s="5"/>
    </row>
    <row r="29" spans="1:20" ht="15" x14ac:dyDescent="0.25">
      <c r="A29" s="83">
        <f>A21+1</f>
        <v>4</v>
      </c>
      <c r="B29" s="123" t="s">
        <v>14</v>
      </c>
      <c r="C29" s="77">
        <f>137+89</f>
        <v>226</v>
      </c>
      <c r="D29" s="25">
        <f>124+116</f>
        <v>240</v>
      </c>
      <c r="E29" s="25">
        <f>104+128</f>
        <v>232</v>
      </c>
      <c r="F29" s="25">
        <f>131+119</f>
        <v>250</v>
      </c>
      <c r="G29" s="25">
        <f>122+104</f>
        <v>226</v>
      </c>
      <c r="H29" s="76">
        <f>125+98</f>
        <v>223</v>
      </c>
      <c r="I29" s="28">
        <f>AVERAGE(C29:H29)/2</f>
        <v>116.41666666666667</v>
      </c>
      <c r="J29" s="66">
        <f>128+116</f>
        <v>244</v>
      </c>
      <c r="K29" s="66">
        <f>102+116</f>
        <v>218</v>
      </c>
      <c r="L29" s="66">
        <f>154+108</f>
        <v>262</v>
      </c>
      <c r="M29" s="66">
        <f>123+131</f>
        <v>254</v>
      </c>
      <c r="N29" s="66">
        <f>135+89</f>
        <v>224</v>
      </c>
      <c r="O29" s="25">
        <f>141+112</f>
        <v>253</v>
      </c>
      <c r="P29" s="25"/>
      <c r="Q29" s="28">
        <f>AVERAGE(J29:P29)/2</f>
        <v>121.25</v>
      </c>
      <c r="R29" s="62">
        <f>COUNTIF(J29:P29,"&gt;1")</f>
        <v>6</v>
      </c>
      <c r="S29" s="6"/>
      <c r="T29" s="64"/>
    </row>
    <row r="30" spans="1:20" ht="15" x14ac:dyDescent="0.25">
      <c r="A30" s="83">
        <f>A23+1</f>
        <v>4</v>
      </c>
      <c r="B30" s="124" t="s">
        <v>65</v>
      </c>
      <c r="C30" s="24">
        <f>95+109</f>
        <v>204</v>
      </c>
      <c r="D30" s="58">
        <f>113+143</f>
        <v>256</v>
      </c>
      <c r="E30" s="58">
        <f>148+138</f>
        <v>286</v>
      </c>
      <c r="F30" s="58">
        <f>148+134</f>
        <v>282</v>
      </c>
      <c r="G30" s="58"/>
      <c r="H30" s="43"/>
      <c r="I30" s="28">
        <f t="shared" ref="I30:I33" si="9">AVERAGE(C30:H30)/2</f>
        <v>128.5</v>
      </c>
      <c r="J30" s="67">
        <v>0</v>
      </c>
      <c r="K30" s="67"/>
      <c r="L30" s="67"/>
      <c r="M30" s="67"/>
      <c r="N30" s="67"/>
      <c r="O30" s="58"/>
      <c r="P30" s="58"/>
      <c r="Q30" s="28">
        <f t="shared" ref="Q30:Q33" si="10">AVERAGE(J30:P30)/2</f>
        <v>0</v>
      </c>
      <c r="R30" s="62">
        <f t="shared" ref="R30:R33" si="11">COUNTIF(J30:P30,"&gt;1")</f>
        <v>0</v>
      </c>
      <c r="S30" s="6"/>
      <c r="T30" s="64"/>
    </row>
    <row r="31" spans="1:20" ht="15" x14ac:dyDescent="0.25">
      <c r="A31" s="83">
        <f>A24+1</f>
        <v>4</v>
      </c>
      <c r="B31" s="140" t="s">
        <v>149</v>
      </c>
      <c r="C31" s="24">
        <f>145+167</f>
        <v>312</v>
      </c>
      <c r="D31" s="58"/>
      <c r="E31" s="58"/>
      <c r="F31" s="58">
        <f>138+111</f>
        <v>249</v>
      </c>
      <c r="G31" s="58"/>
      <c r="H31" s="43"/>
      <c r="I31" s="28">
        <f t="shared" si="9"/>
        <v>140.25</v>
      </c>
      <c r="J31" s="67">
        <v>0</v>
      </c>
      <c r="K31" s="67"/>
      <c r="L31" s="67"/>
      <c r="M31" s="67"/>
      <c r="N31" s="67"/>
      <c r="O31" s="58"/>
      <c r="P31" s="58"/>
      <c r="Q31" s="28">
        <f t="shared" si="10"/>
        <v>0</v>
      </c>
      <c r="R31" s="62">
        <f t="shared" si="11"/>
        <v>0</v>
      </c>
      <c r="S31" s="6"/>
      <c r="T31" s="6"/>
    </row>
    <row r="32" spans="1:20" ht="15" x14ac:dyDescent="0.25">
      <c r="A32" s="83">
        <f>A25+1</f>
        <v>4</v>
      </c>
      <c r="B32" s="117" t="s">
        <v>13</v>
      </c>
      <c r="C32" s="24">
        <f>102+136</f>
        <v>238</v>
      </c>
      <c r="D32" s="58">
        <f>145+136</f>
        <v>281</v>
      </c>
      <c r="E32" s="58">
        <f>125+125</f>
        <v>250</v>
      </c>
      <c r="F32" s="58"/>
      <c r="G32" s="58">
        <f>114+98</f>
        <v>212</v>
      </c>
      <c r="H32" s="43">
        <f>136+96</f>
        <v>232</v>
      </c>
      <c r="I32" s="28">
        <f t="shared" si="9"/>
        <v>121.3</v>
      </c>
      <c r="J32" s="67">
        <f>122+114</f>
        <v>236</v>
      </c>
      <c r="K32" s="67">
        <f>82+133</f>
        <v>215</v>
      </c>
      <c r="L32" s="67">
        <f>102+115</f>
        <v>217</v>
      </c>
      <c r="M32" s="67">
        <f>124+134</f>
        <v>258</v>
      </c>
      <c r="N32" s="67">
        <f>121+158</f>
        <v>279</v>
      </c>
      <c r="O32" s="58">
        <f>111+121</f>
        <v>232</v>
      </c>
      <c r="P32" s="58"/>
      <c r="Q32" s="28">
        <f t="shared" si="10"/>
        <v>119.75</v>
      </c>
      <c r="R32" s="62">
        <f t="shared" si="11"/>
        <v>6</v>
      </c>
      <c r="S32" s="6"/>
      <c r="T32" s="6"/>
    </row>
    <row r="33" spans="1:20" ht="15.75" thickBot="1" x14ac:dyDescent="0.3">
      <c r="A33" s="84">
        <v>4</v>
      </c>
      <c r="B33" s="143" t="s">
        <v>41</v>
      </c>
      <c r="C33" s="75"/>
      <c r="D33" s="13"/>
      <c r="E33" s="13"/>
      <c r="F33" s="13"/>
      <c r="G33" s="13">
        <f>105+106</f>
        <v>211</v>
      </c>
      <c r="H33" s="44">
        <v>251</v>
      </c>
      <c r="I33" s="28">
        <f t="shared" si="9"/>
        <v>115.5</v>
      </c>
      <c r="J33" s="67">
        <f>106+106</f>
        <v>212</v>
      </c>
      <c r="K33" s="67">
        <f>101+156</f>
        <v>257</v>
      </c>
      <c r="L33" s="67">
        <f>124+130</f>
        <v>254</v>
      </c>
      <c r="M33" s="67">
        <f>91+104</f>
        <v>195</v>
      </c>
      <c r="N33" s="67">
        <f>116+103</f>
        <v>219</v>
      </c>
      <c r="O33" s="58">
        <f>123+153</f>
        <v>276</v>
      </c>
      <c r="P33" s="58"/>
      <c r="Q33" s="28">
        <f t="shared" si="10"/>
        <v>117.75</v>
      </c>
      <c r="R33" s="62">
        <f t="shared" si="11"/>
        <v>6</v>
      </c>
      <c r="S33" s="6"/>
      <c r="T33" s="18"/>
    </row>
    <row r="34" spans="1:20" hidden="1" x14ac:dyDescent="0.2">
      <c r="A34" s="5"/>
      <c r="B34" s="6"/>
      <c r="C34" s="18"/>
      <c r="D34" s="18"/>
      <c r="E34" s="18"/>
      <c r="F34" s="18"/>
      <c r="G34" s="18"/>
      <c r="H34" s="18"/>
      <c r="I34" s="61"/>
      <c r="J34" s="68"/>
      <c r="K34" s="68"/>
      <c r="L34" s="68"/>
      <c r="M34" s="68"/>
      <c r="N34" s="68"/>
      <c r="O34" s="18"/>
      <c r="P34" s="18"/>
      <c r="Q34" s="61">
        <f>SUM(J29:P33)/(R34*2)</f>
        <v>119.58333333333333</v>
      </c>
      <c r="R34" s="62">
        <f>SUM(R29:R33)</f>
        <v>18</v>
      </c>
      <c r="S34" s="6"/>
      <c r="T34" s="6"/>
    </row>
    <row r="35" spans="1:20" ht="13.5" thickBot="1" x14ac:dyDescent="0.25">
      <c r="A35" s="5"/>
      <c r="B35" s="6"/>
      <c r="C35" s="18"/>
      <c r="D35" s="6"/>
      <c r="E35" s="6"/>
      <c r="F35" s="6"/>
      <c r="G35" s="6"/>
      <c r="H35" s="6"/>
      <c r="I35" s="4"/>
      <c r="J35" s="69"/>
      <c r="K35" s="69"/>
      <c r="L35" s="69"/>
      <c r="M35" s="69"/>
      <c r="N35" s="69"/>
      <c r="O35" s="6"/>
      <c r="P35" s="6"/>
      <c r="Q35" s="4"/>
      <c r="S35" s="6"/>
      <c r="T35" s="6"/>
    </row>
    <row r="36" spans="1:20" ht="13.5" thickBot="1" x14ac:dyDescent="0.25">
      <c r="A36" s="82">
        <v>5</v>
      </c>
      <c r="B36" s="116" t="s">
        <v>37</v>
      </c>
      <c r="C36" s="7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80"/>
      <c r="Q36" s="26"/>
      <c r="S36" s="6"/>
      <c r="T36" s="6"/>
    </row>
    <row r="37" spans="1:20" ht="15" x14ac:dyDescent="0.25">
      <c r="A37" s="83">
        <v>5</v>
      </c>
      <c r="B37" s="106" t="s">
        <v>38</v>
      </c>
      <c r="C37" s="85">
        <v>163</v>
      </c>
      <c r="D37" s="25">
        <v>162</v>
      </c>
      <c r="E37" s="25">
        <f>77+84</f>
        <v>161</v>
      </c>
      <c r="F37" s="25">
        <f>77+120</f>
        <v>197</v>
      </c>
      <c r="G37" s="25">
        <v>160</v>
      </c>
      <c r="H37" s="76">
        <v>164</v>
      </c>
      <c r="I37" s="28">
        <f>AVERAGE(C37:H37)/2</f>
        <v>83.916666666666671</v>
      </c>
      <c r="J37" s="66">
        <f>75+76</f>
        <v>151</v>
      </c>
      <c r="K37" s="66">
        <f>84+76</f>
        <v>160</v>
      </c>
      <c r="L37" s="66">
        <v>172</v>
      </c>
      <c r="M37" s="66"/>
      <c r="N37" s="66"/>
      <c r="O37" s="25"/>
      <c r="P37" s="25"/>
      <c r="Q37" s="28">
        <f>AVERAGE(J37:P37)/2</f>
        <v>80.5</v>
      </c>
      <c r="R37" s="62">
        <f>COUNTIF(J37:P37,"&gt;1")</f>
        <v>3</v>
      </c>
      <c r="S37" s="6"/>
      <c r="T37" s="8"/>
    </row>
    <row r="38" spans="1:20" ht="15" x14ac:dyDescent="0.25">
      <c r="A38" s="83">
        <v>5</v>
      </c>
      <c r="B38" s="158" t="s">
        <v>156</v>
      </c>
      <c r="C38" s="86"/>
      <c r="D38" s="58"/>
      <c r="E38" s="58"/>
      <c r="F38" s="58">
        <f>173+151</f>
        <v>324</v>
      </c>
      <c r="G38" s="58"/>
      <c r="H38" s="43"/>
      <c r="I38" s="28">
        <f t="shared" ref="I38:I41" si="12">AVERAGE(C38:H38)/2</f>
        <v>162</v>
      </c>
      <c r="J38" s="67">
        <f>97+154</f>
        <v>251</v>
      </c>
      <c r="K38" s="67">
        <f>142+133</f>
        <v>275</v>
      </c>
      <c r="L38" s="67">
        <f>128+142</f>
        <v>270</v>
      </c>
      <c r="M38" s="67">
        <f>158+119</f>
        <v>277</v>
      </c>
      <c r="N38" s="67">
        <f>142+107</f>
        <v>249</v>
      </c>
      <c r="O38" s="58">
        <f>84+99</f>
        <v>183</v>
      </c>
      <c r="P38" s="58"/>
      <c r="Q38" s="28">
        <f t="shared" ref="Q38:Q41" si="13">AVERAGE(J38:P38)/2</f>
        <v>125.41666666666667</v>
      </c>
      <c r="R38" s="62">
        <f t="shared" ref="R38:R41" si="14">COUNTIF(J38:P38,"&gt;1")</f>
        <v>6</v>
      </c>
      <c r="S38" s="6"/>
      <c r="T38" s="6"/>
    </row>
    <row r="39" spans="1:20" ht="15" x14ac:dyDescent="0.25">
      <c r="A39" s="83">
        <v>5</v>
      </c>
      <c r="B39" s="105" t="s">
        <v>31</v>
      </c>
      <c r="C39" s="86">
        <f>187+149</f>
        <v>336</v>
      </c>
      <c r="D39" s="58">
        <v>352</v>
      </c>
      <c r="E39" s="58">
        <f>178+170</f>
        <v>348</v>
      </c>
      <c r="F39" s="58">
        <f>146+190</f>
        <v>336</v>
      </c>
      <c r="G39" s="58">
        <v>335</v>
      </c>
      <c r="H39" s="43">
        <v>354</v>
      </c>
      <c r="I39" s="28">
        <f t="shared" si="12"/>
        <v>171.75</v>
      </c>
      <c r="J39" s="67">
        <f>175+133</f>
        <v>308</v>
      </c>
      <c r="K39" s="67">
        <f>131+144</f>
        <v>275</v>
      </c>
      <c r="L39" s="67">
        <f>137+140</f>
        <v>277</v>
      </c>
      <c r="M39" s="67">
        <f>111+132</f>
        <v>243</v>
      </c>
      <c r="N39" s="67">
        <f>135+121</f>
        <v>256</v>
      </c>
      <c r="O39" s="58">
        <f>158+125</f>
        <v>283</v>
      </c>
      <c r="P39" s="58"/>
      <c r="Q39" s="28">
        <f t="shared" si="13"/>
        <v>136.83333333333334</v>
      </c>
      <c r="R39" s="62">
        <f t="shared" si="14"/>
        <v>6</v>
      </c>
    </row>
    <row r="40" spans="1:20" ht="15" x14ac:dyDescent="0.25">
      <c r="A40" s="83">
        <v>5</v>
      </c>
      <c r="B40" s="158"/>
      <c r="C40" s="86">
        <v>228</v>
      </c>
      <c r="D40" s="58"/>
      <c r="E40" s="58"/>
      <c r="F40" s="58"/>
      <c r="G40" s="58"/>
      <c r="H40" s="43"/>
      <c r="I40" s="28">
        <f t="shared" si="12"/>
        <v>114</v>
      </c>
      <c r="J40" s="67">
        <v>0</v>
      </c>
      <c r="K40" s="67"/>
      <c r="L40" s="67"/>
      <c r="M40" s="67"/>
      <c r="N40" s="67"/>
      <c r="O40" s="58"/>
      <c r="P40" s="58"/>
      <c r="Q40" s="28">
        <f t="shared" si="13"/>
        <v>0</v>
      </c>
      <c r="R40" s="62">
        <f t="shared" si="14"/>
        <v>0</v>
      </c>
    </row>
    <row r="41" spans="1:20" ht="15.75" thickBot="1" x14ac:dyDescent="0.3">
      <c r="A41" s="84">
        <v>5</v>
      </c>
      <c r="B41" s="132" t="s">
        <v>130</v>
      </c>
      <c r="C41" s="87"/>
      <c r="D41" s="13">
        <v>153</v>
      </c>
      <c r="E41" s="13">
        <f>59+52</f>
        <v>111</v>
      </c>
      <c r="F41" s="13"/>
      <c r="G41" s="13">
        <v>115</v>
      </c>
      <c r="H41" s="44">
        <v>135</v>
      </c>
      <c r="I41" s="28">
        <f t="shared" si="12"/>
        <v>64.25</v>
      </c>
      <c r="J41" s="67"/>
      <c r="K41" s="67"/>
      <c r="L41" s="67"/>
      <c r="M41" s="67">
        <f>78+64</f>
        <v>142</v>
      </c>
      <c r="N41" s="67">
        <f>88+64</f>
        <v>152</v>
      </c>
      <c r="O41" s="58">
        <f>73+93</f>
        <v>166</v>
      </c>
      <c r="P41" s="58"/>
      <c r="Q41" s="28">
        <f t="shared" si="13"/>
        <v>76.666666666666671</v>
      </c>
      <c r="R41" s="62">
        <f t="shared" si="14"/>
        <v>3</v>
      </c>
    </row>
    <row r="42" spans="1:20" hidden="1" x14ac:dyDescent="0.2">
      <c r="A42" s="5"/>
      <c r="B42" s="8"/>
      <c r="C42" s="18"/>
      <c r="D42" s="18"/>
      <c r="E42" s="18"/>
      <c r="F42" s="18"/>
      <c r="G42" s="18"/>
      <c r="H42" s="18"/>
      <c r="I42" s="61"/>
      <c r="J42" s="68"/>
      <c r="K42" s="68"/>
      <c r="L42" s="68"/>
      <c r="M42" s="68"/>
      <c r="N42" s="68"/>
      <c r="O42" s="18"/>
      <c r="P42" s="18"/>
      <c r="Q42" s="61">
        <f>SUM(J37:P41)/(R42*2)</f>
        <v>113.61111111111111</v>
      </c>
      <c r="R42" s="62">
        <f>SUM(R37:R41)</f>
        <v>18</v>
      </c>
    </row>
    <row r="43" spans="1:20" ht="13.5" thickBot="1" x14ac:dyDescent="0.25">
      <c r="A43" s="5"/>
      <c r="B43" s="8"/>
      <c r="C43" s="18"/>
      <c r="D43" s="6"/>
      <c r="E43" s="6"/>
      <c r="F43" s="6"/>
      <c r="G43" s="6"/>
      <c r="H43" s="6"/>
      <c r="I43" s="4"/>
      <c r="J43" s="69"/>
      <c r="K43" s="69"/>
      <c r="L43" s="69"/>
      <c r="M43" s="69"/>
      <c r="N43" s="69"/>
      <c r="O43" s="6"/>
      <c r="P43" s="6"/>
      <c r="Q43" s="4"/>
      <c r="R43" s="52"/>
    </row>
    <row r="44" spans="1:20" ht="13.5" thickBot="1" x14ac:dyDescent="0.25">
      <c r="A44" s="82">
        <v>6</v>
      </c>
      <c r="B44" s="116" t="s">
        <v>112</v>
      </c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80"/>
      <c r="Q44" s="26"/>
    </row>
    <row r="45" spans="1:20" ht="15" x14ac:dyDescent="0.25">
      <c r="A45" s="83">
        <v>6</v>
      </c>
      <c r="B45" s="130" t="s">
        <v>25</v>
      </c>
      <c r="C45" s="77">
        <f>132+122</f>
        <v>254</v>
      </c>
      <c r="D45" s="25"/>
      <c r="E45" s="25">
        <f>124+138</f>
        <v>262</v>
      </c>
      <c r="F45" s="25">
        <f>138+124</f>
        <v>262</v>
      </c>
      <c r="G45" s="25">
        <f>133+155</f>
        <v>288</v>
      </c>
      <c r="H45" s="76">
        <f>126+145</f>
        <v>271</v>
      </c>
      <c r="I45" s="28">
        <f>AVERAGE(C45:H45)/2</f>
        <v>133.69999999999999</v>
      </c>
      <c r="J45" s="66">
        <f>173+97</f>
        <v>270</v>
      </c>
      <c r="K45" s="66">
        <f>98+155</f>
        <v>253</v>
      </c>
      <c r="L45" s="66">
        <f>158+103</f>
        <v>261</v>
      </c>
      <c r="M45" s="66">
        <f>127+161</f>
        <v>288</v>
      </c>
      <c r="N45" s="66">
        <f>126+176</f>
        <v>302</v>
      </c>
      <c r="O45" s="25">
        <f>136+161</f>
        <v>297</v>
      </c>
      <c r="P45" s="25"/>
      <c r="Q45" s="28">
        <f>AVERAGE(J45:P45)/2</f>
        <v>139.25</v>
      </c>
      <c r="R45" s="62">
        <f>COUNTIF(J45:P45,"&gt;1")</f>
        <v>6</v>
      </c>
    </row>
    <row r="46" spans="1:20" ht="15" x14ac:dyDescent="0.25">
      <c r="A46" s="83">
        <v>6</v>
      </c>
      <c r="B46" s="131" t="s">
        <v>41</v>
      </c>
      <c r="C46" s="24">
        <f>131+110</f>
        <v>241</v>
      </c>
      <c r="D46" s="58">
        <f>124+143</f>
        <v>267</v>
      </c>
      <c r="E46" s="58"/>
      <c r="F46" s="58"/>
      <c r="G46" s="58"/>
      <c r="H46" s="43"/>
      <c r="I46" s="28">
        <f t="shared" ref="I46:I49" si="15">AVERAGE(C46:H46)/2</f>
        <v>127</v>
      </c>
      <c r="J46" s="67">
        <v>0</v>
      </c>
      <c r="K46" s="67"/>
      <c r="L46" s="67"/>
      <c r="M46" s="67"/>
      <c r="N46" s="67"/>
      <c r="O46" s="58"/>
      <c r="P46" s="58"/>
      <c r="Q46" s="28">
        <f t="shared" ref="Q46:Q49" si="16">AVERAGE(J46:P46)/2</f>
        <v>0</v>
      </c>
      <c r="R46" s="62">
        <f t="shared" ref="R46:R49" si="17">COUNTIF(J46:P46,"&gt;1")</f>
        <v>0</v>
      </c>
    </row>
    <row r="47" spans="1:20" ht="15" x14ac:dyDescent="0.25">
      <c r="A47" s="83">
        <v>6</v>
      </c>
      <c r="B47" s="131" t="s">
        <v>119</v>
      </c>
      <c r="C47" s="24">
        <f>125+131</f>
        <v>256</v>
      </c>
      <c r="D47" s="58">
        <f>105+140</f>
        <v>245</v>
      </c>
      <c r="E47" s="58">
        <f>122+99</f>
        <v>221</v>
      </c>
      <c r="F47" s="58">
        <f>116+120</f>
        <v>236</v>
      </c>
      <c r="G47" s="58">
        <f>110+112</f>
        <v>222</v>
      </c>
      <c r="H47" s="43">
        <f>141+129</f>
        <v>270</v>
      </c>
      <c r="I47" s="28">
        <f t="shared" si="15"/>
        <v>120.83333333333333</v>
      </c>
      <c r="J47" s="67">
        <f>145+148</f>
        <v>293</v>
      </c>
      <c r="K47" s="67">
        <f>143+114</f>
        <v>257</v>
      </c>
      <c r="L47" s="67">
        <f>133+148</f>
        <v>281</v>
      </c>
      <c r="M47" s="67">
        <f>151+141</f>
        <v>292</v>
      </c>
      <c r="N47" s="67">
        <f>139+135</f>
        <v>274</v>
      </c>
      <c r="O47" s="58">
        <f>176+123</f>
        <v>299</v>
      </c>
      <c r="P47" s="58"/>
      <c r="Q47" s="28">
        <f t="shared" si="16"/>
        <v>141.33333333333334</v>
      </c>
      <c r="R47" s="62">
        <f t="shared" si="17"/>
        <v>6</v>
      </c>
    </row>
    <row r="48" spans="1:20" ht="15" x14ac:dyDescent="0.25">
      <c r="A48" s="83">
        <v>6</v>
      </c>
      <c r="B48" s="156" t="s">
        <v>154</v>
      </c>
      <c r="C48" s="24"/>
      <c r="D48" s="58">
        <f>114+117</f>
        <v>231</v>
      </c>
      <c r="E48" s="58">
        <f>121+91</f>
        <v>212</v>
      </c>
      <c r="F48" s="58">
        <f>129+133</f>
        <v>262</v>
      </c>
      <c r="G48" s="58">
        <f>87+114</f>
        <v>201</v>
      </c>
      <c r="H48" s="43">
        <f>106+116</f>
        <v>222</v>
      </c>
      <c r="I48" s="28">
        <f t="shared" si="15"/>
        <v>112.8</v>
      </c>
      <c r="J48" s="67">
        <f>136+124</f>
        <v>260</v>
      </c>
      <c r="K48" s="67">
        <f>101+151</f>
        <v>252</v>
      </c>
      <c r="L48" s="67">
        <f>141+104</f>
        <v>245</v>
      </c>
      <c r="M48" s="67">
        <f>153+127</f>
        <v>280</v>
      </c>
      <c r="N48" s="67">
        <f>89+82</f>
        <v>171</v>
      </c>
      <c r="O48" s="58">
        <f>114+123</f>
        <v>237</v>
      </c>
      <c r="P48" s="58"/>
      <c r="Q48" s="28">
        <f t="shared" si="16"/>
        <v>120.41666666666667</v>
      </c>
      <c r="R48" s="62">
        <f t="shared" si="17"/>
        <v>6</v>
      </c>
    </row>
    <row r="49" spans="1:22" ht="15.75" thickBot="1" x14ac:dyDescent="0.3">
      <c r="A49" s="84">
        <v>6</v>
      </c>
      <c r="B49" s="143" t="s">
        <v>153</v>
      </c>
      <c r="C49" s="75"/>
      <c r="D49" s="13"/>
      <c r="E49" s="13"/>
      <c r="F49" s="13">
        <f>107+113</f>
        <v>220</v>
      </c>
      <c r="G49" s="13">
        <f>106+133</f>
        <v>239</v>
      </c>
      <c r="H49" s="44"/>
      <c r="I49" s="28">
        <f t="shared" si="15"/>
        <v>114.75</v>
      </c>
      <c r="J49" s="67">
        <v>0</v>
      </c>
      <c r="K49" s="67"/>
      <c r="L49" s="67"/>
      <c r="M49" s="67"/>
      <c r="N49" s="67"/>
      <c r="O49" s="58"/>
      <c r="P49" s="58"/>
      <c r="Q49" s="28">
        <f t="shared" si="16"/>
        <v>0</v>
      </c>
      <c r="R49" s="62">
        <f t="shared" si="17"/>
        <v>0</v>
      </c>
      <c r="U49" s="6"/>
      <c r="V49" s="6"/>
    </row>
    <row r="50" spans="1:22" ht="15" hidden="1" x14ac:dyDescent="0.25">
      <c r="A50" s="5"/>
      <c r="B50" s="8"/>
      <c r="C50" s="18"/>
      <c r="D50" s="18"/>
      <c r="E50" s="18"/>
      <c r="F50" s="18"/>
      <c r="G50" s="18"/>
      <c r="H50" s="18"/>
      <c r="I50" s="61"/>
      <c r="J50" s="68"/>
      <c r="K50" s="68"/>
      <c r="L50" s="68"/>
      <c r="M50" s="68"/>
      <c r="N50" s="68"/>
      <c r="O50" s="18"/>
      <c r="P50" s="18"/>
      <c r="Q50" s="61">
        <f>SUM(J45:P49)/(R50*2)</f>
        <v>133.66666666666666</v>
      </c>
      <c r="R50" s="62">
        <f>SUM(R45:R49)</f>
        <v>18</v>
      </c>
      <c r="U50" s="45"/>
      <c r="V50" s="6"/>
    </row>
    <row r="51" spans="1:22" ht="13.5" thickBot="1" x14ac:dyDescent="0.25">
      <c r="A51" s="5"/>
      <c r="B51" s="8"/>
      <c r="C51" s="18"/>
      <c r="D51" s="6"/>
      <c r="E51" s="6"/>
      <c r="F51" s="6"/>
      <c r="G51" s="6"/>
      <c r="H51" s="6"/>
      <c r="I51" s="4"/>
      <c r="J51" s="69"/>
      <c r="K51" s="69"/>
      <c r="L51" s="69"/>
      <c r="M51" s="69"/>
      <c r="N51" s="69"/>
      <c r="O51" s="6"/>
      <c r="P51" s="6"/>
      <c r="Q51" s="4"/>
      <c r="U51" s="46"/>
      <c r="V51" s="6"/>
    </row>
    <row r="52" spans="1:22" ht="13.5" thickBot="1" x14ac:dyDescent="0.25">
      <c r="A52" s="82">
        <v>7</v>
      </c>
      <c r="B52" s="116" t="s">
        <v>139</v>
      </c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26"/>
      <c r="U52" s="46"/>
      <c r="V52" s="6"/>
    </row>
    <row r="53" spans="1:22" ht="15" x14ac:dyDescent="0.25">
      <c r="A53" s="83">
        <v>7</v>
      </c>
      <c r="B53" s="139" t="s">
        <v>143</v>
      </c>
      <c r="C53" s="77">
        <f>100+137</f>
        <v>237</v>
      </c>
      <c r="D53" s="25">
        <f>122+98</f>
        <v>220</v>
      </c>
      <c r="E53" s="25">
        <f>139+136</f>
        <v>275</v>
      </c>
      <c r="F53" s="25">
        <f>115+95</f>
        <v>210</v>
      </c>
      <c r="G53" s="25">
        <f>66+173</f>
        <v>239</v>
      </c>
      <c r="H53" s="76">
        <f>130+108</f>
        <v>238</v>
      </c>
      <c r="I53" s="28">
        <f>AVERAGE(C53:H53)/2</f>
        <v>118.25</v>
      </c>
      <c r="J53" s="66">
        <f>118+136</f>
        <v>254</v>
      </c>
      <c r="K53" s="66">
        <f>133+127</f>
        <v>260</v>
      </c>
      <c r="L53" s="66">
        <f>135+124</f>
        <v>259</v>
      </c>
      <c r="M53" s="66">
        <f>114+139</f>
        <v>253</v>
      </c>
      <c r="N53" s="66">
        <f>133+142</f>
        <v>275</v>
      </c>
      <c r="O53" s="25">
        <f>94+125</f>
        <v>219</v>
      </c>
      <c r="P53" s="25"/>
      <c r="Q53" s="28">
        <f>AVERAGE(J53:P53)/2</f>
        <v>126.66666666666667</v>
      </c>
      <c r="R53" s="62">
        <f>COUNTIF(J53:P53,"&gt;1")</f>
        <v>6</v>
      </c>
      <c r="S53" s="8"/>
      <c r="U53" s="46"/>
      <c r="V53" s="6"/>
    </row>
    <row r="54" spans="1:22" ht="15" x14ac:dyDescent="0.25">
      <c r="A54" s="83">
        <v>7</v>
      </c>
      <c r="B54" s="138" t="s">
        <v>144</v>
      </c>
      <c r="C54" s="24">
        <f>136+132</f>
        <v>268</v>
      </c>
      <c r="D54" s="58">
        <f>136+124</f>
        <v>260</v>
      </c>
      <c r="E54" s="58">
        <f>144+128</f>
        <v>272</v>
      </c>
      <c r="F54" s="58">
        <f>134+154</f>
        <v>288</v>
      </c>
      <c r="G54" s="58">
        <f>119+131</f>
        <v>250</v>
      </c>
      <c r="H54" s="43">
        <f>139+111</f>
        <v>250</v>
      </c>
      <c r="I54" s="28">
        <f t="shared" ref="I54:I57" si="18">AVERAGE(C54:H54)/2</f>
        <v>132.33333333333334</v>
      </c>
      <c r="J54" s="67">
        <f>97+160</f>
        <v>257</v>
      </c>
      <c r="K54" s="67">
        <f>113+130</f>
        <v>243</v>
      </c>
      <c r="L54" s="67">
        <f>148+175</f>
        <v>323</v>
      </c>
      <c r="M54" s="67">
        <f>94+103</f>
        <v>197</v>
      </c>
      <c r="N54" s="67">
        <f>135+116</f>
        <v>251</v>
      </c>
      <c r="O54" s="58">
        <f>125+124</f>
        <v>249</v>
      </c>
      <c r="P54" s="58"/>
      <c r="Q54" s="28">
        <f t="shared" ref="Q54:Q57" si="19">AVERAGE(J54:P54)/2</f>
        <v>126.66666666666667</v>
      </c>
      <c r="R54" s="62">
        <f t="shared" ref="R54:R57" si="20">COUNTIF(J54:P54,"&gt;1")</f>
        <v>6</v>
      </c>
      <c r="U54" s="8"/>
      <c r="V54" s="6"/>
    </row>
    <row r="55" spans="1:22" ht="15" x14ac:dyDescent="0.25">
      <c r="A55" s="83">
        <v>7</v>
      </c>
      <c r="B55" s="138" t="s">
        <v>145</v>
      </c>
      <c r="C55" s="24">
        <f>97+71</f>
        <v>168</v>
      </c>
      <c r="D55" s="58">
        <f>73+105</f>
        <v>178</v>
      </c>
      <c r="E55" s="58">
        <f>136+100</f>
        <v>236</v>
      </c>
      <c r="F55" s="58">
        <f>93+120</f>
        <v>213</v>
      </c>
      <c r="G55" s="58">
        <f>115+100</f>
        <v>215</v>
      </c>
      <c r="H55" s="43">
        <f>85+127</f>
        <v>212</v>
      </c>
      <c r="I55" s="28">
        <f t="shared" si="18"/>
        <v>101.83333333333333</v>
      </c>
      <c r="J55" s="67">
        <f>87+88</f>
        <v>175</v>
      </c>
      <c r="K55" s="67">
        <f>85+87</f>
        <v>172</v>
      </c>
      <c r="L55" s="67">
        <f>111+86</f>
        <v>197</v>
      </c>
      <c r="M55" s="67">
        <f>108+120</f>
        <v>228</v>
      </c>
      <c r="N55" s="67">
        <f>108+94</f>
        <v>202</v>
      </c>
      <c r="O55" s="58">
        <f>80+98</f>
        <v>178</v>
      </c>
      <c r="P55" s="58"/>
      <c r="Q55" s="28">
        <f t="shared" si="19"/>
        <v>96</v>
      </c>
      <c r="R55" s="62">
        <f t="shared" si="20"/>
        <v>6</v>
      </c>
      <c r="S55" s="45"/>
      <c r="U55" s="6"/>
      <c r="V55" s="6"/>
    </row>
    <row r="56" spans="1:22" ht="15" x14ac:dyDescent="0.25">
      <c r="A56" s="83">
        <v>7</v>
      </c>
      <c r="B56" s="114"/>
      <c r="C56" s="24">
        <v>2</v>
      </c>
      <c r="D56" s="58"/>
      <c r="E56" s="58"/>
      <c r="F56" s="58"/>
      <c r="G56" s="58"/>
      <c r="H56" s="43"/>
      <c r="I56" s="28">
        <f t="shared" si="18"/>
        <v>1</v>
      </c>
      <c r="J56" s="67">
        <v>0</v>
      </c>
      <c r="K56" s="67"/>
      <c r="L56" s="67"/>
      <c r="M56" s="67"/>
      <c r="N56" s="67"/>
      <c r="O56" s="58"/>
      <c r="P56" s="58"/>
      <c r="Q56" s="28">
        <f t="shared" si="19"/>
        <v>0</v>
      </c>
      <c r="R56" s="62">
        <f t="shared" si="20"/>
        <v>0</v>
      </c>
      <c r="S56" s="48"/>
      <c r="U56" s="6"/>
      <c r="V56" s="6"/>
    </row>
    <row r="57" spans="1:22" ht="15.75" thickBot="1" x14ac:dyDescent="0.3">
      <c r="A57" s="84">
        <v>7</v>
      </c>
      <c r="B57" s="90" t="s">
        <v>16</v>
      </c>
      <c r="C57" s="75">
        <v>0</v>
      </c>
      <c r="D57" s="13"/>
      <c r="E57" s="13"/>
      <c r="F57" s="13"/>
      <c r="G57" s="13"/>
      <c r="H57" s="44"/>
      <c r="I57" s="28">
        <f t="shared" si="18"/>
        <v>0</v>
      </c>
      <c r="J57" s="67">
        <v>0</v>
      </c>
      <c r="K57" s="67"/>
      <c r="L57" s="67"/>
      <c r="M57" s="67"/>
      <c r="N57" s="67"/>
      <c r="O57" s="58"/>
      <c r="P57" s="58"/>
      <c r="Q57" s="28">
        <f t="shared" si="19"/>
        <v>0</v>
      </c>
      <c r="R57" s="62">
        <f t="shared" si="20"/>
        <v>0</v>
      </c>
      <c r="S57" s="48"/>
      <c r="U57" s="6"/>
      <c r="V57" s="6"/>
    </row>
    <row r="58" spans="1:22" hidden="1" x14ac:dyDescent="0.2">
      <c r="A58" s="5"/>
      <c r="B58" s="8"/>
      <c r="C58" s="18"/>
      <c r="D58" s="18"/>
      <c r="E58" s="18"/>
      <c r="F58" s="18"/>
      <c r="G58" s="18"/>
      <c r="H58" s="18"/>
      <c r="I58" s="61"/>
      <c r="J58" s="68"/>
      <c r="K58" s="68"/>
      <c r="L58" s="68"/>
      <c r="M58" s="68"/>
      <c r="N58" s="68"/>
      <c r="O58" s="18"/>
      <c r="P58" s="18"/>
      <c r="Q58" s="61">
        <f>SUM(J53:P57)/(R58*2)</f>
        <v>116.44444444444444</v>
      </c>
      <c r="R58" s="62">
        <f>SUM(R53:R57)</f>
        <v>18</v>
      </c>
      <c r="S58" s="48"/>
    </row>
    <row r="59" spans="1:22" ht="13.5" thickBot="1" x14ac:dyDescent="0.25">
      <c r="A59" s="5"/>
      <c r="B59" s="8"/>
      <c r="C59" s="18"/>
      <c r="D59" s="6"/>
      <c r="E59" s="6"/>
      <c r="F59" s="6"/>
      <c r="G59" s="6"/>
      <c r="H59" s="6"/>
      <c r="I59" s="4"/>
      <c r="J59" s="69"/>
      <c r="K59" s="69"/>
      <c r="L59" s="69"/>
      <c r="M59" s="69"/>
      <c r="N59" s="69"/>
      <c r="O59" s="6"/>
      <c r="P59" s="6"/>
      <c r="Q59" s="4"/>
      <c r="S59" s="8"/>
    </row>
    <row r="60" spans="1:22" ht="13.5" thickBot="1" x14ac:dyDescent="0.25">
      <c r="A60" s="82">
        <v>8</v>
      </c>
      <c r="B60" s="116" t="s">
        <v>12</v>
      </c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80"/>
      <c r="Q60" s="26"/>
      <c r="S60" s="6"/>
    </row>
    <row r="61" spans="1:22" ht="15" x14ac:dyDescent="0.25">
      <c r="A61" s="83">
        <v>8</v>
      </c>
      <c r="B61" s="109" t="s">
        <v>49</v>
      </c>
      <c r="C61" s="77">
        <f>135+119</f>
        <v>254</v>
      </c>
      <c r="D61" s="25">
        <f>109+146</f>
        <v>255</v>
      </c>
      <c r="E61" s="25">
        <f>162+106</f>
        <v>268</v>
      </c>
      <c r="F61" s="25">
        <f>147+142</f>
        <v>289</v>
      </c>
      <c r="G61" s="25">
        <f>130+116</f>
        <v>246</v>
      </c>
      <c r="H61" s="76">
        <f>146+123</f>
        <v>269</v>
      </c>
      <c r="I61" s="28">
        <f>AVERAGE(C61:H61)/2</f>
        <v>131.75</v>
      </c>
      <c r="J61" s="66">
        <f>112+118</f>
        <v>230</v>
      </c>
      <c r="K61" s="66">
        <f>152+120</f>
        <v>272</v>
      </c>
      <c r="L61" s="66">
        <f>120+105</f>
        <v>225</v>
      </c>
      <c r="M61" s="66">
        <f>122+190</f>
        <v>312</v>
      </c>
      <c r="N61" s="66">
        <f>130*2</f>
        <v>260</v>
      </c>
      <c r="O61" s="25">
        <v>260</v>
      </c>
      <c r="P61" s="25"/>
      <c r="Q61" s="28">
        <f>AVERAGE(J61:P61)/2</f>
        <v>129.91666666666666</v>
      </c>
      <c r="R61" s="62">
        <f>COUNTIF(J61:P61,"&gt;1")</f>
        <v>6</v>
      </c>
      <c r="S61" s="45"/>
    </row>
    <row r="62" spans="1:22" ht="15" x14ac:dyDescent="0.25">
      <c r="A62" s="83">
        <v>8</v>
      </c>
      <c r="B62" s="110" t="s">
        <v>15</v>
      </c>
      <c r="C62" s="24">
        <f>105+135</f>
        <v>240</v>
      </c>
      <c r="D62" s="58">
        <f>126+129</f>
        <v>255</v>
      </c>
      <c r="E62" s="58">
        <f>130+123</f>
        <v>253</v>
      </c>
      <c r="F62" s="58">
        <f>150+120</f>
        <v>270</v>
      </c>
      <c r="G62" s="58">
        <f>117+133</f>
        <v>250</v>
      </c>
      <c r="H62" s="43">
        <f>132+133</f>
        <v>265</v>
      </c>
      <c r="I62" s="28">
        <f t="shared" ref="I62:I65" si="21">AVERAGE(C62:H62)/2</f>
        <v>127.75</v>
      </c>
      <c r="J62" s="67">
        <f>135+135</f>
        <v>270</v>
      </c>
      <c r="K62" s="67">
        <f>145+134</f>
        <v>279</v>
      </c>
      <c r="L62" s="67">
        <f>181+139</f>
        <v>320</v>
      </c>
      <c r="M62" s="67">
        <f>134+136</f>
        <v>270</v>
      </c>
      <c r="N62" s="67">
        <f>142*2</f>
        <v>284</v>
      </c>
      <c r="O62" s="58">
        <v>284</v>
      </c>
      <c r="P62" s="58"/>
      <c r="Q62" s="28">
        <f t="shared" ref="Q62:Q65" si="22">AVERAGE(J62:P62)/2</f>
        <v>142.25</v>
      </c>
      <c r="R62" s="62">
        <f t="shared" ref="R62:R65" si="23">COUNTIF(J62:P62,"&gt;1")</f>
        <v>6</v>
      </c>
      <c r="S62" s="46"/>
    </row>
    <row r="63" spans="1:22" ht="15" x14ac:dyDescent="0.25">
      <c r="A63" s="83">
        <v>8</v>
      </c>
      <c r="B63" s="110" t="s">
        <v>53</v>
      </c>
      <c r="C63" s="24">
        <f>143+169</f>
        <v>312</v>
      </c>
      <c r="D63" s="58">
        <f>184+147</f>
        <v>331</v>
      </c>
      <c r="E63" s="58">
        <f>120+165</f>
        <v>285</v>
      </c>
      <c r="F63" s="58">
        <f>148+154</f>
        <v>302</v>
      </c>
      <c r="G63" s="58">
        <f>169+123</f>
        <v>292</v>
      </c>
      <c r="H63" s="43">
        <f>128+124</f>
        <v>252</v>
      </c>
      <c r="I63" s="28">
        <f t="shared" si="21"/>
        <v>147.83333333333334</v>
      </c>
      <c r="J63" s="67">
        <f>162+159</f>
        <v>321</v>
      </c>
      <c r="K63" s="67">
        <f>133+138</f>
        <v>271</v>
      </c>
      <c r="L63" s="67">
        <f>129+148</f>
        <v>277</v>
      </c>
      <c r="M63" s="67">
        <f>121+165</f>
        <v>286</v>
      </c>
      <c r="N63" s="67">
        <f>144*2</f>
        <v>288</v>
      </c>
      <c r="O63" s="58">
        <v>288</v>
      </c>
      <c r="P63" s="58"/>
      <c r="Q63" s="28">
        <f t="shared" si="22"/>
        <v>144.25</v>
      </c>
      <c r="R63" s="62">
        <f t="shared" si="23"/>
        <v>6</v>
      </c>
      <c r="S63" s="46"/>
    </row>
    <row r="64" spans="1:22" ht="15" x14ac:dyDescent="0.25">
      <c r="A64" s="83">
        <v>8</v>
      </c>
      <c r="B64" s="110" t="s">
        <v>54</v>
      </c>
      <c r="C64" s="24">
        <f>178+165</f>
        <v>343</v>
      </c>
      <c r="D64" s="58">
        <f>201+194</f>
        <v>395</v>
      </c>
      <c r="E64" s="58">
        <f>183+144</f>
        <v>327</v>
      </c>
      <c r="F64" s="58">
        <f>145+131</f>
        <v>276</v>
      </c>
      <c r="G64" s="58">
        <f>181+147</f>
        <v>328</v>
      </c>
      <c r="H64" s="43">
        <f>167+168</f>
        <v>335</v>
      </c>
      <c r="I64" s="28">
        <f t="shared" si="21"/>
        <v>167</v>
      </c>
      <c r="J64" s="67">
        <f>127+169</f>
        <v>296</v>
      </c>
      <c r="K64" s="67">
        <f>117+120</f>
        <v>237</v>
      </c>
      <c r="L64" s="67">
        <f>159+134</f>
        <v>293</v>
      </c>
      <c r="M64" s="67">
        <f>167+153</f>
        <v>320</v>
      </c>
      <c r="N64" s="67">
        <f>143*2</f>
        <v>286</v>
      </c>
      <c r="O64" s="58">
        <v>286</v>
      </c>
      <c r="P64" s="58"/>
      <c r="Q64" s="28">
        <f t="shared" si="22"/>
        <v>143.16666666666666</v>
      </c>
      <c r="R64" s="62">
        <f t="shared" si="23"/>
        <v>6</v>
      </c>
      <c r="S64" s="46"/>
      <c r="T64" s="6"/>
      <c r="U64" s="6"/>
    </row>
    <row r="65" spans="1:21" ht="15.75" thickBot="1" x14ac:dyDescent="0.3">
      <c r="A65" s="84">
        <v>8</v>
      </c>
      <c r="B65" s="111" t="s">
        <v>16</v>
      </c>
      <c r="C65" s="75">
        <v>0</v>
      </c>
      <c r="D65" s="13"/>
      <c r="E65" s="13"/>
      <c r="F65" s="13"/>
      <c r="G65" s="13"/>
      <c r="H65" s="44"/>
      <c r="I65" s="28">
        <f t="shared" si="21"/>
        <v>0</v>
      </c>
      <c r="J65" s="67">
        <v>0</v>
      </c>
      <c r="K65" s="67"/>
      <c r="L65" s="67"/>
      <c r="M65" s="67"/>
      <c r="N65" s="67"/>
      <c r="O65" s="58"/>
      <c r="P65" s="58"/>
      <c r="Q65" s="28">
        <f t="shared" si="22"/>
        <v>0</v>
      </c>
      <c r="R65" s="62">
        <f t="shared" si="23"/>
        <v>0</v>
      </c>
      <c r="S65" s="8"/>
      <c r="T65" s="64"/>
    </row>
    <row r="66" spans="1:21" hidden="1" x14ac:dyDescent="0.2">
      <c r="A66" s="5"/>
      <c r="B66" s="9"/>
      <c r="C66" s="18"/>
      <c r="D66" s="18"/>
      <c r="E66" s="18"/>
      <c r="F66" s="18"/>
      <c r="G66" s="18"/>
      <c r="H66" s="18"/>
      <c r="I66" s="61"/>
      <c r="J66" s="68"/>
      <c r="K66" s="68"/>
      <c r="L66" s="68"/>
      <c r="M66" s="68"/>
      <c r="N66" s="68"/>
      <c r="O66" s="18"/>
      <c r="P66" s="18"/>
      <c r="Q66" s="61">
        <f>SUM(J61:P65)/(R66*2)</f>
        <v>139.89583333333334</v>
      </c>
      <c r="R66" s="62">
        <f>SUM(R61:R65)</f>
        <v>24</v>
      </c>
      <c r="S66" s="8"/>
      <c r="T66" s="6"/>
      <c r="U66" s="6"/>
    </row>
    <row r="67" spans="1:21" ht="13.5" thickBot="1" x14ac:dyDescent="0.25">
      <c r="A67" s="5"/>
      <c r="B67" s="9"/>
      <c r="C67" s="18"/>
      <c r="D67" s="18"/>
      <c r="E67" s="18"/>
      <c r="F67" s="18"/>
      <c r="G67" s="6"/>
      <c r="H67" s="6"/>
      <c r="I67" s="4"/>
      <c r="J67" s="69"/>
      <c r="K67" s="69"/>
      <c r="L67" s="69"/>
      <c r="M67" s="69"/>
      <c r="N67" s="69"/>
      <c r="O67" s="6"/>
      <c r="P67" s="6"/>
      <c r="Q67" s="4"/>
      <c r="R67" s="52"/>
      <c r="S67" s="6"/>
      <c r="T67" s="8"/>
      <c r="U67" s="6"/>
    </row>
    <row r="68" spans="1:21" ht="13.5" thickBot="1" x14ac:dyDescent="0.25">
      <c r="A68" s="82">
        <v>9</v>
      </c>
      <c r="B68" s="116" t="s">
        <v>39</v>
      </c>
      <c r="C68" s="78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80"/>
      <c r="Q68" s="26"/>
      <c r="S68" s="6"/>
      <c r="T68" s="6"/>
      <c r="U68" s="6"/>
    </row>
    <row r="69" spans="1:21" ht="15" x14ac:dyDescent="0.25">
      <c r="A69" s="83">
        <v>9</v>
      </c>
      <c r="B69" s="130" t="s">
        <v>131</v>
      </c>
      <c r="C69" s="77">
        <f>111+171</f>
        <v>282</v>
      </c>
      <c r="D69" s="25">
        <f>142+134</f>
        <v>276</v>
      </c>
      <c r="E69" s="25">
        <f>119+114</f>
        <v>233</v>
      </c>
      <c r="F69" s="25">
        <f>119+129</f>
        <v>248</v>
      </c>
      <c r="G69" s="25">
        <v>287</v>
      </c>
      <c r="H69" s="76">
        <f>133+124</f>
        <v>257</v>
      </c>
      <c r="I69" s="28">
        <f>AVERAGE(C69:H69)/2</f>
        <v>131.91666666666666</v>
      </c>
      <c r="J69" s="66">
        <f>119+118</f>
        <v>237</v>
      </c>
      <c r="K69" s="66">
        <f>118+165</f>
        <v>283</v>
      </c>
      <c r="L69" s="66">
        <f>159+123</f>
        <v>282</v>
      </c>
      <c r="M69" s="66">
        <f>110+118</f>
        <v>228</v>
      </c>
      <c r="N69" s="66">
        <f>142+112</f>
        <v>254</v>
      </c>
      <c r="O69" s="25">
        <f>157+121</f>
        <v>278</v>
      </c>
      <c r="P69" s="25"/>
      <c r="Q69" s="28">
        <f>AVERAGE(J69:P69)/2</f>
        <v>130.16666666666666</v>
      </c>
      <c r="R69" s="62">
        <f>COUNTIF(J69:P69,"&gt;1")</f>
        <v>6</v>
      </c>
      <c r="T69" s="6"/>
      <c r="U69" s="6"/>
    </row>
    <row r="70" spans="1:21" ht="15" x14ac:dyDescent="0.25">
      <c r="A70" s="83">
        <v>9</v>
      </c>
      <c r="B70" s="105" t="s">
        <v>30</v>
      </c>
      <c r="C70" s="24">
        <f>141+102</f>
        <v>243</v>
      </c>
      <c r="D70" s="58">
        <f>104+134</f>
        <v>238</v>
      </c>
      <c r="E70" s="58">
        <f>134+129</f>
        <v>263</v>
      </c>
      <c r="F70" s="58">
        <f>127+94</f>
        <v>221</v>
      </c>
      <c r="G70" s="58">
        <v>295</v>
      </c>
      <c r="H70" s="43">
        <f>144+129</f>
        <v>273</v>
      </c>
      <c r="I70" s="28">
        <f t="shared" ref="I70:I73" si="24">AVERAGE(C70:H70)/2</f>
        <v>127.75</v>
      </c>
      <c r="J70" s="67">
        <f>111+132</f>
        <v>243</v>
      </c>
      <c r="K70" s="67">
        <f>153+111</f>
        <v>264</v>
      </c>
      <c r="L70" s="67">
        <f>110+102</f>
        <v>212</v>
      </c>
      <c r="M70" s="67">
        <f>138+96</f>
        <v>234</v>
      </c>
      <c r="N70" s="67">
        <f>150+117</f>
        <v>267</v>
      </c>
      <c r="O70" s="58">
        <f>112+149</f>
        <v>261</v>
      </c>
      <c r="P70" s="58"/>
      <c r="Q70" s="28">
        <f t="shared" ref="Q70:Q73" si="25">AVERAGE(J70:P70)/2</f>
        <v>123.41666666666667</v>
      </c>
      <c r="R70" s="62">
        <f t="shared" ref="R70:R73" si="26">COUNTIF(J70:P70,"&gt;1")</f>
        <v>6</v>
      </c>
      <c r="T70" s="6"/>
      <c r="U70" s="6"/>
    </row>
    <row r="71" spans="1:21" ht="15" x14ac:dyDescent="0.25">
      <c r="A71" s="83">
        <v>9</v>
      </c>
      <c r="B71" s="105" t="s">
        <v>21</v>
      </c>
      <c r="C71" s="24">
        <f>95+89</f>
        <v>184</v>
      </c>
      <c r="D71" s="58">
        <f>175+113</f>
        <v>288</v>
      </c>
      <c r="E71" s="58">
        <f>144+118</f>
        <v>262</v>
      </c>
      <c r="F71" s="58">
        <f>135+132</f>
        <v>267</v>
      </c>
      <c r="G71" s="58">
        <v>266</v>
      </c>
      <c r="H71" s="43">
        <f>116+135</f>
        <v>251</v>
      </c>
      <c r="I71" s="28">
        <f t="shared" si="24"/>
        <v>126.5</v>
      </c>
      <c r="J71" s="67">
        <f>93+133</f>
        <v>226</v>
      </c>
      <c r="K71" s="67">
        <f>143+126</f>
        <v>269</v>
      </c>
      <c r="L71" s="67">
        <f>129+113</f>
        <v>242</v>
      </c>
      <c r="M71" s="67">
        <f>125+111</f>
        <v>236</v>
      </c>
      <c r="N71" s="67">
        <f>144+115</f>
        <v>259</v>
      </c>
      <c r="O71" s="58">
        <f>123+129</f>
        <v>252</v>
      </c>
      <c r="P71" s="58"/>
      <c r="Q71" s="28">
        <f t="shared" si="25"/>
        <v>123.66666666666667</v>
      </c>
      <c r="R71" s="62">
        <f t="shared" si="26"/>
        <v>6</v>
      </c>
      <c r="T71" s="6"/>
      <c r="U71" s="6"/>
    </row>
    <row r="72" spans="1:21" ht="15" x14ac:dyDescent="0.25">
      <c r="A72" s="83">
        <v>9</v>
      </c>
      <c r="B72" s="89" t="s">
        <v>20</v>
      </c>
      <c r="C72" s="24">
        <v>0</v>
      </c>
      <c r="D72" s="58"/>
      <c r="E72" s="58"/>
      <c r="F72" s="58"/>
      <c r="G72" s="58"/>
      <c r="H72" s="43"/>
      <c r="I72" s="28">
        <f t="shared" si="24"/>
        <v>0</v>
      </c>
      <c r="J72" s="67">
        <v>0</v>
      </c>
      <c r="K72" s="67"/>
      <c r="L72" s="67"/>
      <c r="M72" s="67"/>
      <c r="N72" s="67"/>
      <c r="O72" s="58"/>
      <c r="P72" s="58"/>
      <c r="Q72" s="28">
        <f t="shared" si="25"/>
        <v>0</v>
      </c>
      <c r="R72" s="62">
        <f t="shared" si="26"/>
        <v>0</v>
      </c>
      <c r="T72" s="6"/>
      <c r="U72" s="6"/>
    </row>
    <row r="73" spans="1:21" ht="15.75" thickBot="1" x14ac:dyDescent="0.3">
      <c r="A73" s="84">
        <v>9</v>
      </c>
      <c r="B73" s="90" t="s">
        <v>16</v>
      </c>
      <c r="C73" s="75">
        <v>0</v>
      </c>
      <c r="D73" s="13"/>
      <c r="E73" s="13"/>
      <c r="F73" s="13"/>
      <c r="G73" s="13"/>
      <c r="H73" s="44"/>
      <c r="I73" s="28">
        <f t="shared" si="24"/>
        <v>0</v>
      </c>
      <c r="J73" s="67">
        <v>0</v>
      </c>
      <c r="K73" s="67"/>
      <c r="L73" s="67"/>
      <c r="M73" s="67"/>
      <c r="N73" s="67"/>
      <c r="O73" s="58"/>
      <c r="P73" s="58"/>
      <c r="Q73" s="28">
        <f t="shared" si="25"/>
        <v>0</v>
      </c>
      <c r="R73" s="62">
        <f t="shared" si="26"/>
        <v>0</v>
      </c>
      <c r="T73" s="6"/>
      <c r="U73" s="8"/>
    </row>
    <row r="74" spans="1:21" hidden="1" x14ac:dyDescent="0.2">
      <c r="A74" s="5"/>
      <c r="B74" s="9"/>
      <c r="C74" s="18"/>
      <c r="D74" s="18"/>
      <c r="E74" s="18"/>
      <c r="F74" s="18"/>
      <c r="G74" s="18"/>
      <c r="H74" s="18"/>
      <c r="I74" s="61"/>
      <c r="J74" s="68"/>
      <c r="K74" s="68"/>
      <c r="L74" s="68"/>
      <c r="M74" s="68"/>
      <c r="N74" s="68"/>
      <c r="O74" s="18"/>
      <c r="P74" s="18"/>
      <c r="Q74" s="61">
        <f>SUM(J69:P73)/(R74*2)</f>
        <v>125.75</v>
      </c>
      <c r="R74" s="62">
        <f>SUM(R69:R73)</f>
        <v>18</v>
      </c>
    </row>
    <row r="75" spans="1:21" ht="13.5" thickBot="1" x14ac:dyDescent="0.25">
      <c r="A75" s="5"/>
      <c r="B75" s="9"/>
      <c r="C75" s="18"/>
      <c r="D75" s="6"/>
      <c r="E75" s="6"/>
      <c r="F75" s="6"/>
      <c r="G75" s="6"/>
      <c r="H75" s="6"/>
      <c r="I75" s="4"/>
      <c r="J75" s="69"/>
      <c r="K75" s="69"/>
      <c r="L75" s="69"/>
      <c r="M75" s="69"/>
      <c r="N75" s="69"/>
      <c r="O75" s="6"/>
      <c r="P75" s="6"/>
      <c r="Q75" s="4"/>
      <c r="R75" s="52"/>
    </row>
    <row r="76" spans="1:21" ht="13.5" thickBot="1" x14ac:dyDescent="0.25">
      <c r="A76" s="82">
        <v>10</v>
      </c>
      <c r="B76" s="116" t="s">
        <v>40</v>
      </c>
      <c r="C76" s="78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80"/>
      <c r="Q76" s="26"/>
    </row>
    <row r="77" spans="1:21" ht="15" x14ac:dyDescent="0.25">
      <c r="A77" s="83">
        <v>10</v>
      </c>
      <c r="B77" s="109" t="s">
        <v>50</v>
      </c>
      <c r="C77" s="77">
        <f>100+95</f>
        <v>195</v>
      </c>
      <c r="D77" s="25">
        <f>150+81</f>
        <v>231</v>
      </c>
      <c r="E77" s="25">
        <f>89+124</f>
        <v>213</v>
      </c>
      <c r="F77" s="25">
        <f>119+133</f>
        <v>252</v>
      </c>
      <c r="G77" s="25">
        <f>131+104</f>
        <v>235</v>
      </c>
      <c r="H77" s="76">
        <f>147+118</f>
        <v>265</v>
      </c>
      <c r="I77" s="28">
        <f>AVERAGE(C77:H77)/2</f>
        <v>115.91666666666667</v>
      </c>
      <c r="J77" s="66">
        <f>114+119</f>
        <v>233</v>
      </c>
      <c r="K77" s="66">
        <f>112+93</f>
        <v>205</v>
      </c>
      <c r="L77" s="66">
        <f>115+105</f>
        <v>220</v>
      </c>
      <c r="M77" s="66">
        <f>87+103</f>
        <v>190</v>
      </c>
      <c r="N77" s="66">
        <f>103+107</f>
        <v>210</v>
      </c>
      <c r="O77" s="25">
        <f>105+96</f>
        <v>201</v>
      </c>
      <c r="P77" s="25"/>
      <c r="Q77" s="28">
        <f>AVERAGE(J77:P77)/2</f>
        <v>104.91666666666667</v>
      </c>
      <c r="R77" s="62">
        <f>COUNTIF(J77:P77,"&gt;1")</f>
        <v>6</v>
      </c>
      <c r="U77" s="61"/>
    </row>
    <row r="78" spans="1:21" ht="15" x14ac:dyDescent="0.25">
      <c r="A78" s="83">
        <v>10</v>
      </c>
      <c r="B78" s="110" t="s">
        <v>51</v>
      </c>
      <c r="C78" s="24">
        <f>91+96</f>
        <v>187</v>
      </c>
      <c r="D78" s="58"/>
      <c r="E78" s="58"/>
      <c r="F78" s="58">
        <f>109+107</f>
        <v>216</v>
      </c>
      <c r="G78" s="58">
        <f>106+102</f>
        <v>208</v>
      </c>
      <c r="H78" s="43">
        <f>132+99</f>
        <v>231</v>
      </c>
      <c r="I78" s="28">
        <f t="shared" ref="I78:I81" si="27">AVERAGE(C78:H78)/2</f>
        <v>105.25</v>
      </c>
      <c r="J78" s="67">
        <v>0</v>
      </c>
      <c r="K78" s="67"/>
      <c r="L78" s="67"/>
      <c r="M78" s="67"/>
      <c r="N78" s="67"/>
      <c r="O78" s="58"/>
      <c r="P78" s="58"/>
      <c r="Q78" s="28">
        <f t="shared" ref="Q78:Q81" si="28">AVERAGE(J78:P78)/2</f>
        <v>0</v>
      </c>
      <c r="R78" s="62">
        <f t="shared" ref="R78:R81" si="29">COUNTIF(J78:P78,"&gt;1")</f>
        <v>0</v>
      </c>
    </row>
    <row r="79" spans="1:21" ht="15" x14ac:dyDescent="0.25">
      <c r="A79" s="83">
        <v>10</v>
      </c>
      <c r="B79" s="110" t="s">
        <v>52</v>
      </c>
      <c r="C79" s="24">
        <f>107+147</f>
        <v>254</v>
      </c>
      <c r="D79" s="58">
        <f>113+131</f>
        <v>244</v>
      </c>
      <c r="E79" s="58">
        <f>154+134</f>
        <v>288</v>
      </c>
      <c r="F79" s="58">
        <f>129+113</f>
        <v>242</v>
      </c>
      <c r="G79" s="58">
        <f>146+136</f>
        <v>282</v>
      </c>
      <c r="H79" s="43">
        <f>134+152</f>
        <v>286</v>
      </c>
      <c r="I79" s="28">
        <f t="shared" si="27"/>
        <v>133</v>
      </c>
      <c r="J79" s="67">
        <f>111+107</f>
        <v>218</v>
      </c>
      <c r="K79" s="67">
        <f>109+120</f>
        <v>229</v>
      </c>
      <c r="L79" s="67">
        <f>161+125</f>
        <v>286</v>
      </c>
      <c r="M79" s="67">
        <f>119+134</f>
        <v>253</v>
      </c>
      <c r="N79" s="67">
        <f>157+157</f>
        <v>314</v>
      </c>
      <c r="O79" s="58">
        <f>135+140</f>
        <v>275</v>
      </c>
      <c r="P79" s="58"/>
      <c r="Q79" s="28">
        <f t="shared" si="28"/>
        <v>131.25</v>
      </c>
      <c r="R79" s="62">
        <f t="shared" si="29"/>
        <v>6</v>
      </c>
    </row>
    <row r="80" spans="1:21" ht="15" x14ac:dyDescent="0.25">
      <c r="A80" s="83">
        <v>10</v>
      </c>
      <c r="B80" s="131" t="s">
        <v>133</v>
      </c>
      <c r="C80" s="24"/>
      <c r="D80" s="58">
        <f>79+82</f>
        <v>161</v>
      </c>
      <c r="E80" s="58">
        <f>92+147</f>
        <v>239</v>
      </c>
      <c r="F80" s="58"/>
      <c r="G80" s="58">
        <f>62+110</f>
        <v>172</v>
      </c>
      <c r="H80" s="43"/>
      <c r="I80" s="28">
        <f t="shared" si="27"/>
        <v>95.333333333333329</v>
      </c>
      <c r="J80" s="67">
        <f>79+97</f>
        <v>176</v>
      </c>
      <c r="K80" s="67">
        <f>108+121</f>
        <v>229</v>
      </c>
      <c r="L80" s="67">
        <f>102+164</f>
        <v>266</v>
      </c>
      <c r="M80" s="67">
        <f>83+102</f>
        <v>185</v>
      </c>
      <c r="N80" s="67">
        <f>131+122</f>
        <v>253</v>
      </c>
      <c r="O80" s="58">
        <v>200</v>
      </c>
      <c r="P80" s="58"/>
      <c r="Q80" s="28">
        <f t="shared" si="28"/>
        <v>109.08333333333333</v>
      </c>
      <c r="R80" s="62">
        <f t="shared" si="29"/>
        <v>6</v>
      </c>
    </row>
    <row r="81" spans="1:18" ht="15.75" thickBot="1" x14ac:dyDescent="0.3">
      <c r="A81" s="84">
        <v>10</v>
      </c>
      <c r="B81" s="90" t="s">
        <v>16</v>
      </c>
      <c r="C81" s="75">
        <v>0</v>
      </c>
      <c r="D81" s="13"/>
      <c r="E81" s="13"/>
      <c r="F81" s="13"/>
      <c r="G81" s="13"/>
      <c r="H81" s="44"/>
      <c r="I81" s="28">
        <f t="shared" si="27"/>
        <v>0</v>
      </c>
      <c r="J81" s="67">
        <v>0</v>
      </c>
      <c r="K81" s="67"/>
      <c r="L81" s="67"/>
      <c r="M81" s="67"/>
      <c r="N81" s="67"/>
      <c r="O81" s="58"/>
      <c r="P81" s="58"/>
      <c r="Q81" s="28">
        <f t="shared" si="28"/>
        <v>0</v>
      </c>
      <c r="R81" s="62">
        <f t="shared" si="29"/>
        <v>0</v>
      </c>
    </row>
    <row r="82" spans="1:18" hidden="1" x14ac:dyDescent="0.2">
      <c r="A82" s="5"/>
      <c r="B82" s="8"/>
      <c r="C82" s="18"/>
      <c r="D82" s="18"/>
      <c r="E82" s="18"/>
      <c r="F82" s="18"/>
      <c r="G82" s="18"/>
      <c r="H82" s="18"/>
      <c r="I82" s="61"/>
      <c r="J82" s="68"/>
      <c r="K82" s="68"/>
      <c r="L82" s="68"/>
      <c r="M82" s="68"/>
      <c r="N82" s="68"/>
      <c r="O82" s="18"/>
      <c r="P82" s="18"/>
      <c r="Q82" s="61">
        <f>SUM(J77:P81)/(R82*2)</f>
        <v>115.08333333333333</v>
      </c>
      <c r="R82" s="62">
        <f>SUM(R77:R81)</f>
        <v>18</v>
      </c>
    </row>
    <row r="83" spans="1:18" ht="13.5" thickBot="1" x14ac:dyDescent="0.25">
      <c r="A83" s="5"/>
      <c r="B83" s="8"/>
      <c r="C83" s="18"/>
      <c r="D83" s="6"/>
      <c r="E83" s="6"/>
      <c r="F83" s="6"/>
      <c r="G83" s="6"/>
      <c r="H83" s="6"/>
      <c r="I83" s="4"/>
      <c r="J83" s="69"/>
      <c r="K83" s="69"/>
      <c r="L83" s="69"/>
      <c r="M83" s="69"/>
      <c r="N83" s="69"/>
      <c r="O83" s="6"/>
      <c r="P83" s="6"/>
      <c r="Q83" s="4"/>
    </row>
    <row r="84" spans="1:18" ht="13.5" thickBot="1" x14ac:dyDescent="0.25">
      <c r="A84" s="82">
        <v>11</v>
      </c>
      <c r="B84" s="116" t="s">
        <v>151</v>
      </c>
      <c r="C84" s="78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80"/>
      <c r="Q84" s="26"/>
    </row>
    <row r="85" spans="1:18" ht="15" x14ac:dyDescent="0.25">
      <c r="A85" s="83">
        <v>11</v>
      </c>
      <c r="B85" s="106" t="s">
        <v>25</v>
      </c>
      <c r="C85" s="118">
        <f>114+150</f>
        <v>264</v>
      </c>
      <c r="D85" s="25">
        <f>135+108</f>
        <v>243</v>
      </c>
      <c r="E85" s="25">
        <f>137+131</f>
        <v>268</v>
      </c>
      <c r="F85" s="25">
        <f>132+140</f>
        <v>272</v>
      </c>
      <c r="G85" s="25">
        <f>82+159</f>
        <v>241</v>
      </c>
      <c r="H85" s="76">
        <f>130+152</f>
        <v>282</v>
      </c>
      <c r="I85" s="28">
        <f>AVERAGE(C85:H85)/2</f>
        <v>130.83333333333334</v>
      </c>
      <c r="J85" s="66">
        <f>142+136</f>
        <v>278</v>
      </c>
      <c r="K85" s="66">
        <f>129+130</f>
        <v>259</v>
      </c>
      <c r="L85" s="66">
        <f>100+134</f>
        <v>234</v>
      </c>
      <c r="M85" s="66">
        <f>125+114</f>
        <v>239</v>
      </c>
      <c r="N85" s="66">
        <f>123+148</f>
        <v>271</v>
      </c>
      <c r="O85" s="25">
        <f>105+155</f>
        <v>260</v>
      </c>
      <c r="P85" s="25"/>
      <c r="Q85" s="28">
        <f>AVERAGE(J85:P85)/2</f>
        <v>128.41666666666666</v>
      </c>
      <c r="R85" s="62">
        <f>COUNTIF(J85:P85,"&gt;1")</f>
        <v>6</v>
      </c>
    </row>
    <row r="86" spans="1:18" ht="15" x14ac:dyDescent="0.25">
      <c r="A86" s="83">
        <v>11</v>
      </c>
      <c r="B86" s="105" t="s">
        <v>35</v>
      </c>
      <c r="C86" s="24">
        <f>161+115</f>
        <v>276</v>
      </c>
      <c r="D86" s="58">
        <f>147+152</f>
        <v>299</v>
      </c>
      <c r="E86" s="58">
        <f>147+148</f>
        <v>295</v>
      </c>
      <c r="F86" s="58">
        <f>158+132</f>
        <v>290</v>
      </c>
      <c r="G86" s="58">
        <f>118+114</f>
        <v>232</v>
      </c>
      <c r="H86" s="43">
        <f>130+135</f>
        <v>265</v>
      </c>
      <c r="I86" s="28">
        <f t="shared" ref="I86:I89" si="30">AVERAGE(C86:H86)/2</f>
        <v>138.08333333333334</v>
      </c>
      <c r="J86" s="67">
        <v>239</v>
      </c>
      <c r="K86" s="67">
        <v>299</v>
      </c>
      <c r="L86" s="67">
        <f>97+83</f>
        <v>180</v>
      </c>
      <c r="M86" s="67">
        <f>133+107</f>
        <v>240</v>
      </c>
      <c r="N86" s="67">
        <f>101+142</f>
        <v>243</v>
      </c>
      <c r="O86" s="58">
        <f>136+134</f>
        <v>270</v>
      </c>
      <c r="P86" s="58"/>
      <c r="Q86" s="28">
        <f t="shared" ref="Q86:Q89" si="31">AVERAGE(J86:P86)/2</f>
        <v>122.58333333333333</v>
      </c>
      <c r="R86" s="62">
        <f t="shared" ref="R86:R89" si="32">COUNTIF(J86:P86,"&gt;1")</f>
        <v>6</v>
      </c>
    </row>
    <row r="87" spans="1:18" ht="15" x14ac:dyDescent="0.25">
      <c r="A87" s="83">
        <v>11</v>
      </c>
      <c r="B87" s="105" t="s">
        <v>22</v>
      </c>
      <c r="C87" s="24">
        <f>125+135</f>
        <v>260</v>
      </c>
      <c r="D87" s="58">
        <f>140+136</f>
        <v>276</v>
      </c>
      <c r="E87" s="58">
        <f>127+137</f>
        <v>264</v>
      </c>
      <c r="F87" s="58">
        <f>133+146</f>
        <v>279</v>
      </c>
      <c r="G87" s="58">
        <f>134+92</f>
        <v>226</v>
      </c>
      <c r="H87" s="43">
        <f>121+110</f>
        <v>231</v>
      </c>
      <c r="I87" s="28">
        <f t="shared" si="30"/>
        <v>128</v>
      </c>
      <c r="J87" s="67">
        <f>95+146</f>
        <v>241</v>
      </c>
      <c r="K87" s="67">
        <f>131+131</f>
        <v>262</v>
      </c>
      <c r="L87" s="67">
        <f>84+113</f>
        <v>197</v>
      </c>
      <c r="M87" s="67">
        <f>112+138</f>
        <v>250</v>
      </c>
      <c r="N87" s="67">
        <f>127+131</f>
        <v>258</v>
      </c>
      <c r="O87" s="58">
        <f>125+142</f>
        <v>267</v>
      </c>
      <c r="P87" s="58"/>
      <c r="Q87" s="28">
        <f t="shared" si="31"/>
        <v>122.91666666666667</v>
      </c>
      <c r="R87" s="62">
        <f t="shared" si="32"/>
        <v>6</v>
      </c>
    </row>
    <row r="88" spans="1:18" ht="15" x14ac:dyDescent="0.25">
      <c r="A88" s="83">
        <v>11</v>
      </c>
      <c r="B88" s="105" t="s">
        <v>23</v>
      </c>
      <c r="C88" s="24">
        <f>182+165</f>
        <v>347</v>
      </c>
      <c r="D88" s="58">
        <f>202+153</f>
        <v>355</v>
      </c>
      <c r="E88" s="58">
        <f>181+161</f>
        <v>342</v>
      </c>
      <c r="F88" s="58">
        <f>147+116</f>
        <v>263</v>
      </c>
      <c r="G88" s="58">
        <f>153+145</f>
        <v>298</v>
      </c>
      <c r="H88" s="43">
        <f>169+170</f>
        <v>339</v>
      </c>
      <c r="I88" s="28">
        <f t="shared" si="30"/>
        <v>162</v>
      </c>
      <c r="J88" s="67">
        <f>160+139</f>
        <v>299</v>
      </c>
      <c r="K88" s="67">
        <f>112+189</f>
        <v>301</v>
      </c>
      <c r="L88" s="67">
        <f>153+130</f>
        <v>283</v>
      </c>
      <c r="M88" s="67">
        <f>158+156</f>
        <v>314</v>
      </c>
      <c r="N88" s="67">
        <f>159+154</f>
        <v>313</v>
      </c>
      <c r="O88" s="58">
        <f>150+127</f>
        <v>277</v>
      </c>
      <c r="P88" s="58"/>
      <c r="Q88" s="28">
        <f t="shared" si="31"/>
        <v>148.91666666666666</v>
      </c>
      <c r="R88" s="62">
        <f t="shared" si="32"/>
        <v>6</v>
      </c>
    </row>
    <row r="89" spans="1:18" ht="15.75" thickBot="1" x14ac:dyDescent="0.3">
      <c r="A89" s="84">
        <v>11</v>
      </c>
      <c r="B89" s="102"/>
      <c r="C89" s="75">
        <v>0</v>
      </c>
      <c r="D89" s="13"/>
      <c r="E89" s="13"/>
      <c r="F89" s="13"/>
      <c r="G89" s="13"/>
      <c r="H89" s="44"/>
      <c r="I89" s="28">
        <f t="shared" si="30"/>
        <v>0</v>
      </c>
      <c r="J89" s="67">
        <v>0</v>
      </c>
      <c r="K89" s="67"/>
      <c r="L89" s="67"/>
      <c r="M89" s="67"/>
      <c r="N89" s="67"/>
      <c r="O89" s="58"/>
      <c r="P89" s="58"/>
      <c r="Q89" s="28">
        <f t="shared" si="31"/>
        <v>0</v>
      </c>
      <c r="R89" s="62">
        <f t="shared" si="32"/>
        <v>0</v>
      </c>
    </row>
    <row r="90" spans="1:18" hidden="1" x14ac:dyDescent="0.2">
      <c r="A90" s="5"/>
      <c r="B90" s="8"/>
      <c r="C90" s="18"/>
      <c r="D90" s="18"/>
      <c r="E90" s="18"/>
      <c r="F90" s="18"/>
      <c r="G90" s="18"/>
      <c r="H90" s="18"/>
      <c r="I90" s="61"/>
      <c r="J90" s="68"/>
      <c r="K90" s="68"/>
      <c r="L90" s="68"/>
      <c r="M90" s="68"/>
      <c r="N90" s="68"/>
      <c r="O90" s="18"/>
      <c r="P90" s="18"/>
      <c r="Q90" s="61">
        <f>SUM(J85:P89)/(R90*2)</f>
        <v>130.70833333333334</v>
      </c>
      <c r="R90" s="62">
        <f>SUM(R85:R89)</f>
        <v>24</v>
      </c>
    </row>
    <row r="91" spans="1:18" ht="13.5" thickBot="1" x14ac:dyDescent="0.25">
      <c r="A91" s="5"/>
      <c r="B91" s="8"/>
      <c r="C91" s="18"/>
      <c r="D91" s="6"/>
      <c r="E91" s="6"/>
      <c r="F91" s="6"/>
      <c r="G91" s="6"/>
      <c r="H91" s="6"/>
      <c r="I91" s="4"/>
      <c r="J91" s="69"/>
      <c r="K91" s="69"/>
      <c r="L91" s="69"/>
      <c r="M91" s="69"/>
      <c r="N91" s="69" t="s">
        <v>168</v>
      </c>
      <c r="O91" s="6"/>
      <c r="P91" s="6"/>
      <c r="Q91" s="4"/>
    </row>
    <row r="92" spans="1:18" ht="13.5" thickBot="1" x14ac:dyDescent="0.25">
      <c r="A92" s="82">
        <v>12</v>
      </c>
      <c r="B92" s="116" t="s">
        <v>45</v>
      </c>
      <c r="C92" s="78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80"/>
      <c r="Q92" s="26"/>
    </row>
    <row r="93" spans="1:18" ht="15" x14ac:dyDescent="0.25">
      <c r="A93" s="83">
        <v>12</v>
      </c>
      <c r="B93" s="106" t="s">
        <v>42</v>
      </c>
      <c r="C93" s="77">
        <f>139+129</f>
        <v>268</v>
      </c>
      <c r="D93" s="25">
        <f>113+177</f>
        <v>290</v>
      </c>
      <c r="E93" s="25">
        <f>126+152</f>
        <v>278</v>
      </c>
      <c r="F93" s="25">
        <f>119+110</f>
        <v>229</v>
      </c>
      <c r="G93" s="25">
        <f>137+163</f>
        <v>300</v>
      </c>
      <c r="H93" s="76">
        <f>116+121</f>
        <v>237</v>
      </c>
      <c r="I93" s="28">
        <f>AVERAGE(C93:H93)/2</f>
        <v>133.5</v>
      </c>
      <c r="J93" s="66">
        <f>160+149</f>
        <v>309</v>
      </c>
      <c r="K93" s="66">
        <f>120+157</f>
        <v>277</v>
      </c>
      <c r="L93" s="66">
        <f>123+153</f>
        <v>276</v>
      </c>
      <c r="M93" s="66">
        <f>133+135</f>
        <v>268</v>
      </c>
      <c r="N93" s="66">
        <f>111+113</f>
        <v>224</v>
      </c>
      <c r="O93" s="25">
        <f>128+134</f>
        <v>262</v>
      </c>
      <c r="P93" s="25"/>
      <c r="Q93" s="28">
        <f>AVERAGE(J93:P93)/2</f>
        <v>134.66666666666666</v>
      </c>
      <c r="R93" s="62">
        <f>COUNTIF(J93:P93,"&gt;1")</f>
        <v>6</v>
      </c>
    </row>
    <row r="94" spans="1:18" ht="15" x14ac:dyDescent="0.25">
      <c r="A94" s="83">
        <v>12</v>
      </c>
      <c r="B94" s="105" t="s">
        <v>43</v>
      </c>
      <c r="C94" s="24">
        <f>199+158</f>
        <v>357</v>
      </c>
      <c r="D94" s="58">
        <f>161+179</f>
        <v>340</v>
      </c>
      <c r="E94" s="58">
        <f>184+166</f>
        <v>350</v>
      </c>
      <c r="F94" s="58">
        <f>147+191</f>
        <v>338</v>
      </c>
      <c r="G94" s="58">
        <f>194+178</f>
        <v>372</v>
      </c>
      <c r="H94" s="43">
        <f>191+169</f>
        <v>360</v>
      </c>
      <c r="I94" s="28">
        <f t="shared" ref="I94:I97" si="33">AVERAGE(C94:H94)/2</f>
        <v>176.41666666666666</v>
      </c>
      <c r="J94" s="67">
        <f>176+162</f>
        <v>338</v>
      </c>
      <c r="K94" s="67">
        <f>158+177</f>
        <v>335</v>
      </c>
      <c r="L94" s="67">
        <f>123+144</f>
        <v>267</v>
      </c>
      <c r="M94" s="67">
        <f>164+152</f>
        <v>316</v>
      </c>
      <c r="N94" s="67">
        <f>138+172</f>
        <v>310</v>
      </c>
      <c r="O94" s="58">
        <f>174+170</f>
        <v>344</v>
      </c>
      <c r="P94" s="58"/>
      <c r="Q94" s="28">
        <f t="shared" ref="Q94:Q97" si="34">AVERAGE(J94:P94)/2</f>
        <v>159.16666666666666</v>
      </c>
      <c r="R94" s="62">
        <f t="shared" ref="R94:R97" si="35">COUNTIF(J94:P94,"&gt;1")</f>
        <v>6</v>
      </c>
    </row>
    <row r="95" spans="1:18" ht="15" x14ac:dyDescent="0.25">
      <c r="A95" s="83">
        <v>12</v>
      </c>
      <c r="B95" s="105" t="s">
        <v>21</v>
      </c>
      <c r="C95" s="24">
        <f>116+126</f>
        <v>242</v>
      </c>
      <c r="D95" s="58">
        <f>120+129</f>
        <v>249</v>
      </c>
      <c r="E95" s="58">
        <f>156+93</f>
        <v>249</v>
      </c>
      <c r="F95" s="58">
        <f>130+114</f>
        <v>244</v>
      </c>
      <c r="G95" s="58">
        <f>122+135</f>
        <v>257</v>
      </c>
      <c r="H95" s="43">
        <f>131+116</f>
        <v>247</v>
      </c>
      <c r="I95" s="28">
        <f t="shared" si="33"/>
        <v>124</v>
      </c>
      <c r="J95" s="67">
        <f>136+140</f>
        <v>276</v>
      </c>
      <c r="K95" s="67">
        <f>136+153</f>
        <v>289</v>
      </c>
      <c r="L95" s="67">
        <f>142+129</f>
        <v>271</v>
      </c>
      <c r="M95" s="67">
        <f>135+140</f>
        <v>275</v>
      </c>
      <c r="N95" s="67">
        <f>136+141</f>
        <v>277</v>
      </c>
      <c r="O95" s="58">
        <f>120+142</f>
        <v>262</v>
      </c>
      <c r="P95" s="58"/>
      <c r="Q95" s="28">
        <f t="shared" si="34"/>
        <v>137.5</v>
      </c>
      <c r="R95" s="62">
        <f t="shared" si="35"/>
        <v>6</v>
      </c>
    </row>
    <row r="96" spans="1:18" ht="15" x14ac:dyDescent="0.25">
      <c r="A96" s="83">
        <v>12</v>
      </c>
      <c r="B96" s="105" t="s">
        <v>44</v>
      </c>
      <c r="C96" s="24">
        <f>118+109</f>
        <v>227</v>
      </c>
      <c r="D96" s="58">
        <f>133+115</f>
        <v>248</v>
      </c>
      <c r="E96" s="58">
        <f>133+122</f>
        <v>255</v>
      </c>
      <c r="F96" s="58">
        <f>112+119</f>
        <v>231</v>
      </c>
      <c r="G96" s="58">
        <f>122+130</f>
        <v>252</v>
      </c>
      <c r="H96" s="43">
        <f>96+140</f>
        <v>236</v>
      </c>
      <c r="I96" s="28">
        <f t="shared" si="33"/>
        <v>120.75</v>
      </c>
      <c r="J96" s="67">
        <f>100+145</f>
        <v>245</v>
      </c>
      <c r="K96" s="67">
        <f>126+116</f>
        <v>242</v>
      </c>
      <c r="L96" s="67">
        <f>156+138</f>
        <v>294</v>
      </c>
      <c r="M96" s="67">
        <f>105+106</f>
        <v>211</v>
      </c>
      <c r="N96" s="67">
        <f>109+145</f>
        <v>254</v>
      </c>
      <c r="O96" s="58">
        <f>124+114</f>
        <v>238</v>
      </c>
      <c r="P96" s="58"/>
      <c r="Q96" s="28">
        <f t="shared" si="34"/>
        <v>123.66666666666667</v>
      </c>
      <c r="R96" s="62">
        <f t="shared" si="35"/>
        <v>6</v>
      </c>
    </row>
    <row r="97" spans="1:18" ht="15.75" thickBot="1" x14ac:dyDescent="0.3">
      <c r="A97" s="84">
        <v>12</v>
      </c>
      <c r="B97" s="102"/>
      <c r="C97" s="75">
        <v>0</v>
      </c>
      <c r="D97" s="13"/>
      <c r="E97" s="13"/>
      <c r="F97" s="13"/>
      <c r="G97" s="13"/>
      <c r="H97" s="44"/>
      <c r="I97" s="28">
        <f t="shared" si="33"/>
        <v>0</v>
      </c>
      <c r="J97" s="67">
        <v>0</v>
      </c>
      <c r="K97" s="67"/>
      <c r="L97" s="67"/>
      <c r="M97" s="67"/>
      <c r="N97" s="67"/>
      <c r="O97" s="58"/>
      <c r="P97" s="58"/>
      <c r="Q97" s="28">
        <f t="shared" si="34"/>
        <v>0</v>
      </c>
      <c r="R97" s="62">
        <f t="shared" si="35"/>
        <v>0</v>
      </c>
    </row>
    <row r="98" spans="1:18" hidden="1" x14ac:dyDescent="0.2">
      <c r="A98" s="5"/>
      <c r="B98" s="8"/>
      <c r="C98" s="18"/>
      <c r="D98" s="18"/>
      <c r="E98" s="18"/>
      <c r="F98" s="18"/>
      <c r="G98" s="18"/>
      <c r="H98" s="18"/>
      <c r="I98" s="61"/>
      <c r="J98" s="68"/>
      <c r="K98" s="68"/>
      <c r="L98" s="68"/>
      <c r="M98" s="68"/>
      <c r="N98" s="68"/>
      <c r="O98" s="18"/>
      <c r="P98" s="18"/>
      <c r="Q98" s="61">
        <f>SUM(J93:P97)/(R98*2)</f>
        <v>138.75</v>
      </c>
      <c r="R98" s="62">
        <f>SUM(R93:R97)</f>
        <v>24</v>
      </c>
    </row>
    <row r="99" spans="1:18" ht="13.5" thickBot="1" x14ac:dyDescent="0.25">
      <c r="A99" s="5"/>
      <c r="B99" s="8"/>
      <c r="C99" s="18"/>
      <c r="D99" s="6"/>
      <c r="E99" s="6"/>
      <c r="F99" s="6"/>
      <c r="G99" s="6"/>
      <c r="H99" s="6"/>
      <c r="I99" s="4"/>
      <c r="J99" s="69"/>
      <c r="K99" s="69"/>
      <c r="L99" s="69"/>
      <c r="M99" s="69"/>
      <c r="N99" s="69"/>
      <c r="O99" s="6"/>
      <c r="P99" s="6"/>
      <c r="Q99" s="4"/>
    </row>
    <row r="100" spans="1:18" ht="13.5" thickBot="1" x14ac:dyDescent="0.25">
      <c r="A100" s="82">
        <v>13</v>
      </c>
      <c r="B100" s="116" t="s">
        <v>132</v>
      </c>
      <c r="C100" s="78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80"/>
      <c r="Q100" s="26"/>
    </row>
    <row r="101" spans="1:18" ht="15" x14ac:dyDescent="0.25">
      <c r="A101" s="83">
        <v>13</v>
      </c>
      <c r="B101" s="112" t="s">
        <v>62</v>
      </c>
      <c r="C101" s="134">
        <f>142+145</f>
        <v>287</v>
      </c>
      <c r="D101" s="25">
        <f>141+141</f>
        <v>282</v>
      </c>
      <c r="E101" s="25"/>
      <c r="F101" s="25">
        <f>154+156</f>
        <v>310</v>
      </c>
      <c r="G101" s="25">
        <f>115+154</f>
        <v>269</v>
      </c>
      <c r="H101" s="76">
        <f>171+176</f>
        <v>347</v>
      </c>
      <c r="I101" s="28">
        <f>AVERAGE(C101:H101)/2</f>
        <v>149.5</v>
      </c>
      <c r="J101" s="66">
        <f>135+158</f>
        <v>293</v>
      </c>
      <c r="K101" s="66">
        <f>151+133</f>
        <v>284</v>
      </c>
      <c r="L101" s="66">
        <f>137+133</f>
        <v>270</v>
      </c>
      <c r="M101" s="66">
        <f>140+142</f>
        <v>282</v>
      </c>
      <c r="N101" s="66">
        <f>165+128</f>
        <v>293</v>
      </c>
      <c r="O101" s="25">
        <f>178+156</f>
        <v>334</v>
      </c>
      <c r="P101" s="25"/>
      <c r="Q101" s="28">
        <f>AVERAGE(J101:P101)/2</f>
        <v>146.33333333333334</v>
      </c>
      <c r="R101" s="62">
        <f>COUNTIF(J101:P101,"&gt;1")</f>
        <v>6</v>
      </c>
    </row>
    <row r="102" spans="1:18" ht="15" x14ac:dyDescent="0.25">
      <c r="A102" s="83">
        <v>13</v>
      </c>
      <c r="B102" s="113" t="s">
        <v>63</v>
      </c>
      <c r="C102" s="24">
        <f>188+100</f>
        <v>288</v>
      </c>
      <c r="D102" s="58">
        <f>171+118</f>
        <v>289</v>
      </c>
      <c r="E102" s="58">
        <f>141+119</f>
        <v>260</v>
      </c>
      <c r="F102" s="58">
        <f>138+145</f>
        <v>283</v>
      </c>
      <c r="G102" s="58">
        <f>171+125</f>
        <v>296</v>
      </c>
      <c r="H102" s="43">
        <f>131+121</f>
        <v>252</v>
      </c>
      <c r="I102" s="28">
        <f t="shared" ref="I102:I105" si="36">AVERAGE(C102:H102)/2</f>
        <v>139</v>
      </c>
      <c r="J102" s="67">
        <f>124+143</f>
        <v>267</v>
      </c>
      <c r="K102" s="67"/>
      <c r="L102" s="67">
        <f>122+149</f>
        <v>271</v>
      </c>
      <c r="M102" s="67"/>
      <c r="N102" s="67"/>
      <c r="O102" s="58">
        <f>133+167</f>
        <v>300</v>
      </c>
      <c r="P102" s="58"/>
      <c r="Q102" s="28">
        <f t="shared" ref="Q102:Q105" si="37">AVERAGE(J102:P102)/2</f>
        <v>139.66666666666666</v>
      </c>
      <c r="R102" s="62">
        <f t="shared" ref="R102:R105" si="38">COUNTIF(J102:P102,"&gt;1")</f>
        <v>3</v>
      </c>
    </row>
    <row r="103" spans="1:18" ht="15" x14ac:dyDescent="0.25">
      <c r="A103" s="83">
        <v>13</v>
      </c>
      <c r="B103" s="115" t="s">
        <v>66</v>
      </c>
      <c r="C103" s="24">
        <f>133+138</f>
        <v>271</v>
      </c>
      <c r="D103" s="58">
        <f>116+118</f>
        <v>234</v>
      </c>
      <c r="E103" s="58">
        <f>119+91</f>
        <v>210</v>
      </c>
      <c r="F103" s="58">
        <f>116+98</f>
        <v>214</v>
      </c>
      <c r="G103" s="58">
        <f>137+123</f>
        <v>260</v>
      </c>
      <c r="H103" s="43"/>
      <c r="I103" s="28">
        <f t="shared" si="36"/>
        <v>118.9</v>
      </c>
      <c r="J103" s="67">
        <f>113+88</f>
        <v>201</v>
      </c>
      <c r="K103" s="67">
        <f>110+112</f>
        <v>222</v>
      </c>
      <c r="L103" s="67">
        <f>128+131</f>
        <v>259</v>
      </c>
      <c r="M103" s="67">
        <f>101+127</f>
        <v>228</v>
      </c>
      <c r="N103" s="67">
        <f>157+164</f>
        <v>321</v>
      </c>
      <c r="O103" s="58"/>
      <c r="P103" s="58"/>
      <c r="Q103" s="28">
        <f t="shared" si="37"/>
        <v>123.1</v>
      </c>
      <c r="R103" s="62">
        <f t="shared" si="38"/>
        <v>5</v>
      </c>
    </row>
    <row r="104" spans="1:18" ht="15" x14ac:dyDescent="0.25">
      <c r="A104" s="83">
        <v>13</v>
      </c>
      <c r="B104" s="115" t="s">
        <v>55</v>
      </c>
      <c r="C104" s="24"/>
      <c r="D104" s="58">
        <f>103+75</f>
        <v>178</v>
      </c>
      <c r="E104" s="58">
        <f>125+124</f>
        <v>249</v>
      </c>
      <c r="F104" s="58"/>
      <c r="G104" s="58">
        <f>141+128</f>
        <v>269</v>
      </c>
      <c r="H104" s="43">
        <f>85+154</f>
        <v>239</v>
      </c>
      <c r="I104" s="28">
        <f t="shared" si="36"/>
        <v>116.875</v>
      </c>
      <c r="J104" s="67">
        <f>112+110</f>
        <v>222</v>
      </c>
      <c r="K104" s="67">
        <f>148+158</f>
        <v>306</v>
      </c>
      <c r="L104" s="67">
        <f>121+98</f>
        <v>219</v>
      </c>
      <c r="M104" s="67">
        <f>137+133</f>
        <v>270</v>
      </c>
      <c r="N104" s="67">
        <f>138+153</f>
        <v>291</v>
      </c>
      <c r="O104" s="58">
        <f>108+122</f>
        <v>230</v>
      </c>
      <c r="P104" s="58"/>
      <c r="Q104" s="28">
        <f t="shared" si="37"/>
        <v>128.16666666666666</v>
      </c>
      <c r="R104" s="62">
        <f t="shared" si="38"/>
        <v>6</v>
      </c>
    </row>
    <row r="105" spans="1:18" ht="15.75" thickBot="1" x14ac:dyDescent="0.3">
      <c r="A105" s="84">
        <v>13</v>
      </c>
      <c r="B105" s="90"/>
      <c r="C105" s="75">
        <v>0</v>
      </c>
      <c r="D105" s="13"/>
      <c r="E105" s="13"/>
      <c r="F105" s="13"/>
      <c r="G105" s="13"/>
      <c r="H105" s="44"/>
      <c r="I105" s="28">
        <f t="shared" si="36"/>
        <v>0</v>
      </c>
      <c r="J105" s="67">
        <v>0</v>
      </c>
      <c r="K105" s="67"/>
      <c r="L105" s="67"/>
      <c r="M105" s="67"/>
      <c r="N105" s="67"/>
      <c r="O105" s="58"/>
      <c r="P105" s="58"/>
      <c r="Q105" s="28">
        <f t="shared" si="37"/>
        <v>0</v>
      </c>
      <c r="R105" s="62">
        <f t="shared" si="38"/>
        <v>0</v>
      </c>
    </row>
    <row r="106" spans="1:18" hidden="1" x14ac:dyDescent="0.2">
      <c r="A106" s="5"/>
      <c r="B106" s="8"/>
      <c r="C106" s="18"/>
      <c r="D106" s="18"/>
      <c r="E106" s="18"/>
      <c r="F106" s="18"/>
      <c r="G106" s="18"/>
      <c r="H106" s="18"/>
      <c r="I106" s="61"/>
      <c r="J106" s="68"/>
      <c r="K106" s="68"/>
      <c r="L106" s="68"/>
      <c r="M106" s="68"/>
      <c r="N106" s="68"/>
      <c r="O106" s="18"/>
      <c r="P106" s="18"/>
      <c r="Q106" s="61">
        <f>SUM(J101:P105)/(R106*2)</f>
        <v>134.07499999999999</v>
      </c>
      <c r="R106" s="62">
        <f>SUM(R101:R105)</f>
        <v>20</v>
      </c>
    </row>
    <row r="107" spans="1:18" ht="13.5" thickBot="1" x14ac:dyDescent="0.25">
      <c r="A107" s="5"/>
      <c r="B107" s="8"/>
      <c r="C107" s="18"/>
      <c r="D107" s="6"/>
      <c r="E107" s="6"/>
      <c r="F107" s="6"/>
      <c r="G107" s="6"/>
      <c r="H107" s="6"/>
      <c r="I107" s="4"/>
      <c r="J107" s="69"/>
      <c r="K107" s="69"/>
      <c r="L107" s="69"/>
      <c r="M107" s="69"/>
      <c r="N107" s="69"/>
      <c r="O107" s="6"/>
      <c r="P107" s="6"/>
      <c r="Q107" s="4"/>
    </row>
    <row r="108" spans="1:18" ht="13.5" thickBot="1" x14ac:dyDescent="0.25">
      <c r="A108" s="82">
        <v>14</v>
      </c>
      <c r="B108" s="116" t="s">
        <v>83</v>
      </c>
      <c r="C108" s="78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80"/>
      <c r="Q108" s="26"/>
    </row>
    <row r="109" spans="1:18" ht="15" x14ac:dyDescent="0.25">
      <c r="A109" s="83">
        <v>14</v>
      </c>
      <c r="B109" s="109" t="s">
        <v>41</v>
      </c>
      <c r="C109" s="77">
        <f>128+101</f>
        <v>229</v>
      </c>
      <c r="D109" s="25">
        <f>110+136</f>
        <v>246</v>
      </c>
      <c r="E109" s="25">
        <f>133+138</f>
        <v>271</v>
      </c>
      <c r="F109" s="25">
        <f>117+110</f>
        <v>227</v>
      </c>
      <c r="G109" s="25">
        <f>97+109</f>
        <v>206</v>
      </c>
      <c r="H109" s="76">
        <f>129+91</f>
        <v>220</v>
      </c>
      <c r="I109" s="28">
        <f>AVERAGE(C109:H109)/2</f>
        <v>116.58333333333333</v>
      </c>
      <c r="J109" s="66">
        <f>122+137</f>
        <v>259</v>
      </c>
      <c r="K109" s="66">
        <f>109+112</f>
        <v>221</v>
      </c>
      <c r="L109" s="66">
        <f>120+108</f>
        <v>228</v>
      </c>
      <c r="M109" s="66">
        <f>138+144</f>
        <v>282</v>
      </c>
      <c r="N109" s="66">
        <f>137+141</f>
        <v>278</v>
      </c>
      <c r="O109" s="25">
        <f>142+115</f>
        <v>257</v>
      </c>
      <c r="P109" s="25"/>
      <c r="Q109" s="28">
        <f>AVERAGE(J109:P109)/2</f>
        <v>127.08333333333333</v>
      </c>
      <c r="R109" s="62">
        <f>COUNTIF(J109:P109,"&gt;1")</f>
        <v>6</v>
      </c>
    </row>
    <row r="110" spans="1:18" ht="15" x14ac:dyDescent="0.25">
      <c r="A110" s="83">
        <v>14</v>
      </c>
      <c r="B110" s="110" t="s">
        <v>60</v>
      </c>
      <c r="C110" s="24">
        <f>69+118</f>
        <v>187</v>
      </c>
      <c r="D110" s="58">
        <f>74+122</f>
        <v>196</v>
      </c>
      <c r="E110" s="58">
        <f>109+135</f>
        <v>244</v>
      </c>
      <c r="F110" s="58">
        <f>146+106</f>
        <v>252</v>
      </c>
      <c r="G110" s="58">
        <f>89+149</f>
        <v>238</v>
      </c>
      <c r="H110" s="43">
        <f>106+126</f>
        <v>232</v>
      </c>
      <c r="I110" s="28">
        <f t="shared" ref="I110:I113" si="39">AVERAGE(C110:H110)/2</f>
        <v>112.41666666666667</v>
      </c>
      <c r="J110" s="67">
        <f>124+101</f>
        <v>225</v>
      </c>
      <c r="K110" s="67">
        <f>101+103</f>
        <v>204</v>
      </c>
      <c r="L110" s="67">
        <f>118+156</f>
        <v>274</v>
      </c>
      <c r="M110" s="67">
        <f>102+139</f>
        <v>241</v>
      </c>
      <c r="N110" s="67">
        <f>143+108</f>
        <v>251</v>
      </c>
      <c r="O110" s="58">
        <f>114+146</f>
        <v>260</v>
      </c>
      <c r="P110" s="58"/>
      <c r="Q110" s="28">
        <f t="shared" ref="Q110:Q113" si="40">AVERAGE(J110:P110)/2</f>
        <v>121.25</v>
      </c>
      <c r="R110" s="62">
        <f t="shared" ref="R110:R113" si="41">COUNTIF(J110:P110,"&gt;1")</f>
        <v>6</v>
      </c>
    </row>
    <row r="111" spans="1:18" ht="15" x14ac:dyDescent="0.25">
      <c r="A111" s="83">
        <v>14</v>
      </c>
      <c r="B111" s="124" t="s">
        <v>82</v>
      </c>
      <c r="C111" s="24">
        <f>134+107</f>
        <v>241</v>
      </c>
      <c r="D111" s="58">
        <f>165+97</f>
        <v>262</v>
      </c>
      <c r="E111" s="58">
        <f>111+93</f>
        <v>204</v>
      </c>
      <c r="F111" s="58">
        <f>133+115</f>
        <v>248</v>
      </c>
      <c r="G111" s="58">
        <f>121+136</f>
        <v>257</v>
      </c>
      <c r="H111" s="43">
        <f>121+148</f>
        <v>269</v>
      </c>
      <c r="I111" s="28">
        <f t="shared" si="39"/>
        <v>123.41666666666667</v>
      </c>
      <c r="J111" s="67">
        <f>144+105</f>
        <v>249</v>
      </c>
      <c r="K111" s="67">
        <f>123+114</f>
        <v>237</v>
      </c>
      <c r="L111" s="67">
        <f>106+138</f>
        <v>244</v>
      </c>
      <c r="M111" s="67">
        <f>126+168</f>
        <v>294</v>
      </c>
      <c r="N111" s="67">
        <f>169+177</f>
        <v>346</v>
      </c>
      <c r="O111" s="58">
        <f>155+144</f>
        <v>299</v>
      </c>
      <c r="P111" s="58"/>
      <c r="Q111" s="28">
        <f t="shared" si="40"/>
        <v>139.08333333333334</v>
      </c>
      <c r="R111" s="62">
        <f t="shared" si="41"/>
        <v>6</v>
      </c>
    </row>
    <row r="112" spans="1:18" ht="15" x14ac:dyDescent="0.25">
      <c r="A112" s="83">
        <v>14</v>
      </c>
      <c r="B112" s="124" t="s">
        <v>61</v>
      </c>
      <c r="C112" s="125">
        <f>106+173</f>
        <v>279</v>
      </c>
      <c r="D112" s="58">
        <f>117+130</f>
        <v>247</v>
      </c>
      <c r="E112" s="58">
        <f>130+100</f>
        <v>230</v>
      </c>
      <c r="F112" s="58">
        <f>104+125</f>
        <v>229</v>
      </c>
      <c r="G112" s="58">
        <f>147+124</f>
        <v>271</v>
      </c>
      <c r="H112" s="43">
        <f>131+145</f>
        <v>276</v>
      </c>
      <c r="I112" s="28">
        <f t="shared" si="39"/>
        <v>127.66666666666667</v>
      </c>
      <c r="J112" s="67">
        <f>118+115</f>
        <v>233</v>
      </c>
      <c r="K112" s="67">
        <f>138+107</f>
        <v>245</v>
      </c>
      <c r="L112" s="67">
        <f>124+191</f>
        <v>315</v>
      </c>
      <c r="M112" s="67">
        <f>103+109</f>
        <v>212</v>
      </c>
      <c r="N112" s="67">
        <f>107+94</f>
        <v>201</v>
      </c>
      <c r="O112" s="58">
        <f>132+139</f>
        <v>271</v>
      </c>
      <c r="P112" s="58"/>
      <c r="Q112" s="28">
        <f t="shared" si="40"/>
        <v>123.08333333333333</v>
      </c>
      <c r="R112" s="62">
        <f t="shared" si="41"/>
        <v>6</v>
      </c>
    </row>
    <row r="113" spans="1:21" ht="15.75" thickBot="1" x14ac:dyDescent="0.3">
      <c r="A113" s="84">
        <v>14</v>
      </c>
      <c r="B113" s="90" t="s">
        <v>16</v>
      </c>
      <c r="C113" s="75">
        <v>0</v>
      </c>
      <c r="D113" s="13"/>
      <c r="E113" s="13"/>
      <c r="F113" s="13"/>
      <c r="G113" s="13"/>
      <c r="H113" s="44"/>
      <c r="I113" s="28">
        <f t="shared" si="39"/>
        <v>0</v>
      </c>
      <c r="J113" s="67">
        <v>0</v>
      </c>
      <c r="K113" s="67"/>
      <c r="L113" s="67"/>
      <c r="M113" s="67"/>
      <c r="N113" s="67"/>
      <c r="O113" s="58"/>
      <c r="P113" s="58"/>
      <c r="Q113" s="28">
        <f t="shared" si="40"/>
        <v>0</v>
      </c>
      <c r="R113" s="62">
        <f t="shared" si="41"/>
        <v>0</v>
      </c>
    </row>
    <row r="114" spans="1:21" hidden="1" x14ac:dyDescent="0.2">
      <c r="A114" s="5"/>
      <c r="B114" s="8"/>
      <c r="C114" s="18"/>
      <c r="D114" s="18"/>
      <c r="E114" s="18"/>
      <c r="F114" s="18"/>
      <c r="G114" s="18"/>
      <c r="H114" s="18"/>
      <c r="I114" s="61"/>
      <c r="J114" s="68"/>
      <c r="K114" s="68"/>
      <c r="L114" s="68"/>
      <c r="M114" s="68"/>
      <c r="N114" s="68"/>
      <c r="O114" s="18"/>
      <c r="P114" s="18"/>
      <c r="Q114" s="61">
        <f>SUM(J109:P113)/(R114*2)</f>
        <v>127.625</v>
      </c>
      <c r="R114" s="62">
        <f>SUM(R109:R113)</f>
        <v>24</v>
      </c>
    </row>
    <row r="115" spans="1:21" ht="13.5" thickBot="1" x14ac:dyDescent="0.25">
      <c r="A115" s="5"/>
      <c r="B115" s="8"/>
      <c r="C115" s="18"/>
      <c r="D115" s="6"/>
      <c r="E115" s="6"/>
      <c r="F115" s="6"/>
      <c r="G115" s="6"/>
      <c r="H115" s="6"/>
      <c r="I115" s="4"/>
      <c r="J115" s="69"/>
      <c r="K115" s="69"/>
      <c r="L115" s="69"/>
      <c r="M115" s="69"/>
      <c r="N115" s="69"/>
      <c r="O115" s="6"/>
      <c r="P115" s="6"/>
      <c r="Q115" s="4"/>
    </row>
    <row r="116" spans="1:21" ht="13.5" thickBot="1" x14ac:dyDescent="0.25">
      <c r="A116" s="82">
        <v>15</v>
      </c>
      <c r="B116" s="116" t="s">
        <v>84</v>
      </c>
      <c r="C116" s="78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80"/>
      <c r="Q116" s="26"/>
      <c r="R116" s="62">
        <f>COUNTIF(J116:P116,"&gt;1")</f>
        <v>0</v>
      </c>
    </row>
    <row r="117" spans="1:21" ht="15" x14ac:dyDescent="0.25">
      <c r="A117" s="83">
        <v>15</v>
      </c>
      <c r="B117" s="123" t="s">
        <v>85</v>
      </c>
      <c r="C117" s="77">
        <f>89+109</f>
        <v>198</v>
      </c>
      <c r="D117" s="25">
        <f>135+117</f>
        <v>252</v>
      </c>
      <c r="E117" s="25">
        <f>127+89</f>
        <v>216</v>
      </c>
      <c r="F117" s="25">
        <f>101+108</f>
        <v>209</v>
      </c>
      <c r="G117" s="25">
        <f>155+113</f>
        <v>268</v>
      </c>
      <c r="H117" s="76">
        <f>82+121</f>
        <v>203</v>
      </c>
      <c r="I117" s="28">
        <f>AVERAGE(C117:H117)/2</f>
        <v>112.16666666666667</v>
      </c>
      <c r="J117" s="66">
        <f>97+118</f>
        <v>215</v>
      </c>
      <c r="K117" s="66">
        <f>108+109</f>
        <v>217</v>
      </c>
      <c r="L117" s="66">
        <f>118+109</f>
        <v>227</v>
      </c>
      <c r="M117" s="66">
        <f>134+94</f>
        <v>228</v>
      </c>
      <c r="N117" s="66">
        <f>132+103</f>
        <v>235</v>
      </c>
      <c r="O117" s="133">
        <f>+(J117+K117+M117+L117+N117)/5</f>
        <v>224.4</v>
      </c>
      <c r="P117" s="25"/>
      <c r="Q117" s="28">
        <f>AVERAGE(J117:P117)/2</f>
        <v>112.2</v>
      </c>
      <c r="R117" s="62">
        <f>COUNTIF(J117:P117,"&gt;1")</f>
        <v>6</v>
      </c>
    </row>
    <row r="118" spans="1:21" ht="15" x14ac:dyDescent="0.25">
      <c r="A118" s="83">
        <v>15</v>
      </c>
      <c r="B118" s="124" t="s">
        <v>86</v>
      </c>
      <c r="C118" s="24">
        <f>101+100</f>
        <v>201</v>
      </c>
      <c r="D118" s="58">
        <f>107+156</f>
        <v>263</v>
      </c>
      <c r="E118" s="58">
        <f>93+141</f>
        <v>234</v>
      </c>
      <c r="F118" s="58">
        <f>99+130</f>
        <v>229</v>
      </c>
      <c r="G118" s="58">
        <f>139+145</f>
        <v>284</v>
      </c>
      <c r="H118" s="43">
        <f>135+125</f>
        <v>260</v>
      </c>
      <c r="I118" s="28">
        <f t="shared" ref="I118:I121" si="42">AVERAGE(C118:H118)/2</f>
        <v>122.58333333333333</v>
      </c>
      <c r="J118" s="67">
        <f>103+114</f>
        <v>217</v>
      </c>
      <c r="K118" s="67">
        <f>102+131</f>
        <v>233</v>
      </c>
      <c r="L118" s="67">
        <f>136+133</f>
        <v>269</v>
      </c>
      <c r="M118" s="67">
        <f>160+110</f>
        <v>270</v>
      </c>
      <c r="N118" s="67">
        <f>132+98</f>
        <v>230</v>
      </c>
      <c r="O118" s="133">
        <f t="shared" ref="O118:O120" si="43">+(J118+K118+M118+L118+N118)/5</f>
        <v>243.8</v>
      </c>
      <c r="P118" s="58"/>
      <c r="Q118" s="28">
        <f t="shared" ref="Q118:Q121" si="44">AVERAGE(J118:P118)/2</f>
        <v>121.89999999999999</v>
      </c>
      <c r="R118" s="62">
        <f t="shared" ref="R118:R121" si="45">COUNTIF(J118:P118,"&gt;1")</f>
        <v>6</v>
      </c>
    </row>
    <row r="119" spans="1:21" ht="15" x14ac:dyDescent="0.25">
      <c r="A119" s="83">
        <v>15</v>
      </c>
      <c r="B119" s="124" t="s">
        <v>59</v>
      </c>
      <c r="C119" s="24">
        <f>159+152</f>
        <v>311</v>
      </c>
      <c r="D119" s="58">
        <f>149+120</f>
        <v>269</v>
      </c>
      <c r="E119" s="58">
        <f>127+108</f>
        <v>235</v>
      </c>
      <c r="F119" s="58">
        <f>126+133</f>
        <v>259</v>
      </c>
      <c r="G119" s="58">
        <f>134+129</f>
        <v>263</v>
      </c>
      <c r="H119" s="43">
        <f>150+135</f>
        <v>285</v>
      </c>
      <c r="I119" s="28">
        <f t="shared" si="42"/>
        <v>135.16666666666666</v>
      </c>
      <c r="J119" s="67">
        <f>114+160</f>
        <v>274</v>
      </c>
      <c r="K119" s="67">
        <f>124+151</f>
        <v>275</v>
      </c>
      <c r="L119" s="67">
        <f>158+145</f>
        <v>303</v>
      </c>
      <c r="M119" s="67">
        <f>173+141</f>
        <v>314</v>
      </c>
      <c r="N119" s="67">
        <f>135+144</f>
        <v>279</v>
      </c>
      <c r="O119" s="133">
        <f t="shared" si="43"/>
        <v>289</v>
      </c>
      <c r="P119" s="58"/>
      <c r="Q119" s="28">
        <f t="shared" si="44"/>
        <v>144.5</v>
      </c>
      <c r="R119" s="62">
        <f t="shared" si="45"/>
        <v>6</v>
      </c>
    </row>
    <row r="120" spans="1:21" ht="15" x14ac:dyDescent="0.25">
      <c r="A120" s="83">
        <v>15</v>
      </c>
      <c r="B120" s="124" t="s">
        <v>87</v>
      </c>
      <c r="C120" s="24">
        <f>110+83</f>
        <v>193</v>
      </c>
      <c r="D120" s="58">
        <f>86+89</f>
        <v>175</v>
      </c>
      <c r="E120" s="58">
        <f>101+129</f>
        <v>230</v>
      </c>
      <c r="F120" s="58">
        <f>82+122</f>
        <v>204</v>
      </c>
      <c r="G120" s="58">
        <f>114+95</f>
        <v>209</v>
      </c>
      <c r="H120" s="43">
        <f>114+124</f>
        <v>238</v>
      </c>
      <c r="I120" s="28">
        <f t="shared" si="42"/>
        <v>104.08333333333333</v>
      </c>
      <c r="J120" s="67">
        <f>116+109</f>
        <v>225</v>
      </c>
      <c r="K120" s="67">
        <f>160+108</f>
        <v>268</v>
      </c>
      <c r="L120" s="67">
        <f>115+125</f>
        <v>240</v>
      </c>
      <c r="M120" s="67">
        <f>94+111</f>
        <v>205</v>
      </c>
      <c r="N120" s="67">
        <f>124+98</f>
        <v>222</v>
      </c>
      <c r="O120" s="133">
        <f t="shared" si="43"/>
        <v>232</v>
      </c>
      <c r="P120" s="58"/>
      <c r="Q120" s="28">
        <f t="shared" si="44"/>
        <v>116</v>
      </c>
      <c r="R120" s="62">
        <f t="shared" si="45"/>
        <v>6</v>
      </c>
    </row>
    <row r="121" spans="1:21" ht="15.75" thickBot="1" x14ac:dyDescent="0.3">
      <c r="A121" s="84">
        <v>15</v>
      </c>
      <c r="B121" s="90" t="s">
        <v>16</v>
      </c>
      <c r="C121" s="75">
        <v>0</v>
      </c>
      <c r="D121" s="13"/>
      <c r="E121" s="13"/>
      <c r="F121" s="13"/>
      <c r="G121" s="13"/>
      <c r="H121" s="44"/>
      <c r="I121" s="28">
        <f t="shared" si="42"/>
        <v>0</v>
      </c>
      <c r="J121" s="67">
        <v>0</v>
      </c>
      <c r="K121" s="67"/>
      <c r="L121" s="67"/>
      <c r="M121" s="67"/>
      <c r="N121" s="67"/>
      <c r="O121" s="58"/>
      <c r="P121" s="58"/>
      <c r="Q121" s="28">
        <f t="shared" si="44"/>
        <v>0</v>
      </c>
      <c r="R121" s="62">
        <f t="shared" si="45"/>
        <v>0</v>
      </c>
    </row>
    <row r="122" spans="1:21" hidden="1" x14ac:dyDescent="0.2">
      <c r="A122" s="5"/>
      <c r="B122" s="8"/>
      <c r="C122" s="18"/>
      <c r="D122" s="18"/>
      <c r="E122" s="18"/>
      <c r="F122" s="18"/>
      <c r="G122" s="18"/>
      <c r="H122" s="18"/>
      <c r="I122" s="61"/>
      <c r="J122" s="68"/>
      <c r="K122" s="68"/>
      <c r="L122" s="68"/>
      <c r="M122" s="68"/>
      <c r="N122" s="68"/>
      <c r="O122" s="18"/>
      <c r="P122" s="18"/>
      <c r="Q122" s="61">
        <f>SUM(J117:P121)/(R122*2)</f>
        <v>123.65000000000002</v>
      </c>
      <c r="R122" s="62">
        <f>SUM(R117:R121)</f>
        <v>24</v>
      </c>
    </row>
    <row r="123" spans="1:21" ht="13.5" thickBot="1" x14ac:dyDescent="0.25">
      <c r="A123" s="5"/>
      <c r="B123" s="8"/>
      <c r="C123" s="18"/>
      <c r="D123" s="6"/>
      <c r="E123" s="6"/>
      <c r="F123" s="6"/>
      <c r="G123" s="6"/>
      <c r="H123" s="6"/>
      <c r="I123" s="4"/>
      <c r="J123" s="69"/>
      <c r="K123" s="69"/>
      <c r="L123" s="69"/>
      <c r="M123" s="69"/>
      <c r="N123" s="69"/>
      <c r="O123" s="6"/>
      <c r="P123" s="6"/>
      <c r="Q123" s="4"/>
      <c r="S123" s="6"/>
      <c r="T123" s="6"/>
      <c r="U123" s="6"/>
    </row>
    <row r="124" spans="1:21" ht="13.5" thickBot="1" x14ac:dyDescent="0.25">
      <c r="A124" s="82">
        <f>A116+1</f>
        <v>16</v>
      </c>
      <c r="B124" s="116" t="s">
        <v>28</v>
      </c>
      <c r="C124" s="78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80"/>
      <c r="Q124" s="26"/>
      <c r="R124" s="62">
        <f>COUNTIF(J124:P124,"&gt;1")</f>
        <v>0</v>
      </c>
    </row>
    <row r="125" spans="1:21" ht="15" x14ac:dyDescent="0.25">
      <c r="A125" s="83">
        <v>16</v>
      </c>
      <c r="B125" s="123" t="s">
        <v>32</v>
      </c>
      <c r="C125" s="77">
        <f>119+108</f>
        <v>227</v>
      </c>
      <c r="D125" s="25">
        <f>143+151</f>
        <v>294</v>
      </c>
      <c r="E125" s="25">
        <f>125+177</f>
        <v>302</v>
      </c>
      <c r="F125" s="25">
        <f>105+126</f>
        <v>231</v>
      </c>
      <c r="G125" s="25">
        <f>122+113</f>
        <v>235</v>
      </c>
      <c r="H125" s="76">
        <f>155+183</f>
        <v>338</v>
      </c>
      <c r="I125" s="28">
        <f>AVERAGE(C125:H125)/2</f>
        <v>135.58333333333334</v>
      </c>
      <c r="J125" s="66">
        <f>107+129</f>
        <v>236</v>
      </c>
      <c r="K125" s="66">
        <f>153+157</f>
        <v>310</v>
      </c>
      <c r="L125" s="66">
        <f>105+122</f>
        <v>227</v>
      </c>
      <c r="M125" s="66">
        <f>128+145</f>
        <v>273</v>
      </c>
      <c r="N125" s="66">
        <f>111+152</f>
        <v>263</v>
      </c>
      <c r="O125" s="25">
        <f>100+148</f>
        <v>248</v>
      </c>
      <c r="P125" s="25"/>
      <c r="Q125" s="28">
        <f>AVERAGE(J125:P125)/2</f>
        <v>129.75</v>
      </c>
      <c r="R125" s="62">
        <f>COUNTIF(J125:P125,"&gt;1")</f>
        <v>6</v>
      </c>
    </row>
    <row r="126" spans="1:21" ht="15" x14ac:dyDescent="0.25">
      <c r="A126" s="83">
        <v>16</v>
      </c>
      <c r="B126" s="124" t="s">
        <v>33</v>
      </c>
      <c r="C126" s="24">
        <f>124+100</f>
        <v>224</v>
      </c>
      <c r="D126" s="58">
        <f>135+116</f>
        <v>251</v>
      </c>
      <c r="E126" s="58">
        <f>158+116</f>
        <v>274</v>
      </c>
      <c r="F126" s="58">
        <f>112+109</f>
        <v>221</v>
      </c>
      <c r="G126" s="58">
        <f>146+133</f>
        <v>279</v>
      </c>
      <c r="H126" s="43">
        <f>125+101</f>
        <v>226</v>
      </c>
      <c r="I126" s="28">
        <f t="shared" ref="I126:I129" si="46">AVERAGE(C126:H126)/2</f>
        <v>122.91666666666667</v>
      </c>
      <c r="J126" s="67">
        <f>112+121</f>
        <v>233</v>
      </c>
      <c r="K126" s="67">
        <f>112+127</f>
        <v>239</v>
      </c>
      <c r="L126" s="67">
        <f>145+127</f>
        <v>272</v>
      </c>
      <c r="M126" s="67">
        <f>130+121</f>
        <v>251</v>
      </c>
      <c r="N126" s="67">
        <f>134+96</f>
        <v>230</v>
      </c>
      <c r="O126" s="58">
        <f>108+102</f>
        <v>210</v>
      </c>
      <c r="P126" s="58"/>
      <c r="Q126" s="28">
        <f t="shared" ref="Q126:Q129" si="47">AVERAGE(J126:P126)/2</f>
        <v>119.58333333333333</v>
      </c>
      <c r="R126" s="62">
        <f t="shared" ref="R126:R129" si="48">COUNTIF(J126:P126,"&gt;1")</f>
        <v>6</v>
      </c>
    </row>
    <row r="127" spans="1:21" ht="15" x14ac:dyDescent="0.25">
      <c r="A127" s="83">
        <v>16</v>
      </c>
      <c r="B127" s="124" t="s">
        <v>34</v>
      </c>
      <c r="C127" s="24">
        <f>121+156</f>
        <v>277</v>
      </c>
      <c r="D127" s="58">
        <f>114+135</f>
        <v>249</v>
      </c>
      <c r="E127" s="58">
        <f>133+136</f>
        <v>269</v>
      </c>
      <c r="F127" s="58">
        <f>125+131</f>
        <v>256</v>
      </c>
      <c r="G127" s="58">
        <f>153+138</f>
        <v>291</v>
      </c>
      <c r="H127" s="43">
        <f>139+136</f>
        <v>275</v>
      </c>
      <c r="I127" s="28">
        <f t="shared" si="46"/>
        <v>134.75</v>
      </c>
      <c r="J127" s="67">
        <f>125+168</f>
        <v>293</v>
      </c>
      <c r="K127" s="67">
        <f>122+111</f>
        <v>233</v>
      </c>
      <c r="L127" s="67">
        <f>109+114</f>
        <v>223</v>
      </c>
      <c r="M127" s="67">
        <f>145+123</f>
        <v>268</v>
      </c>
      <c r="N127" s="67">
        <f>139+121</f>
        <v>260</v>
      </c>
      <c r="O127" s="58">
        <f>101+109</f>
        <v>210</v>
      </c>
      <c r="P127" s="58"/>
      <c r="Q127" s="28">
        <f t="shared" si="47"/>
        <v>123.91666666666667</v>
      </c>
      <c r="R127" s="62">
        <f t="shared" si="48"/>
        <v>6</v>
      </c>
    </row>
    <row r="128" spans="1:21" ht="15" x14ac:dyDescent="0.25">
      <c r="A128" s="83">
        <v>16</v>
      </c>
      <c r="B128" s="113"/>
      <c r="C128" s="24">
        <v>0</v>
      </c>
      <c r="D128" s="58"/>
      <c r="E128" s="58"/>
      <c r="F128" s="58"/>
      <c r="G128" s="58"/>
      <c r="H128" s="43"/>
      <c r="I128" s="28">
        <f t="shared" si="46"/>
        <v>0</v>
      </c>
      <c r="J128" s="67">
        <v>0</v>
      </c>
      <c r="K128" s="67"/>
      <c r="L128" s="67"/>
      <c r="M128" s="67"/>
      <c r="N128" s="67"/>
      <c r="O128" s="58"/>
      <c r="P128" s="58"/>
      <c r="Q128" s="28">
        <f t="shared" si="47"/>
        <v>0</v>
      </c>
      <c r="R128" s="62">
        <f t="shared" si="48"/>
        <v>0</v>
      </c>
    </row>
    <row r="129" spans="1:19" ht="15.75" thickBot="1" x14ac:dyDescent="0.3">
      <c r="A129" s="84">
        <v>16</v>
      </c>
      <c r="B129" s="111" t="s">
        <v>16</v>
      </c>
      <c r="C129" s="75">
        <v>0</v>
      </c>
      <c r="D129" s="13"/>
      <c r="E129" s="13"/>
      <c r="F129" s="13"/>
      <c r="G129" s="13"/>
      <c r="H129" s="44"/>
      <c r="I129" s="28">
        <f t="shared" si="46"/>
        <v>0</v>
      </c>
      <c r="J129" s="67">
        <v>0</v>
      </c>
      <c r="K129" s="67"/>
      <c r="L129" s="67"/>
      <c r="M129" s="67"/>
      <c r="N129" s="67"/>
      <c r="O129" s="58"/>
      <c r="P129" s="58"/>
      <c r="Q129" s="28">
        <f t="shared" si="47"/>
        <v>0</v>
      </c>
      <c r="R129" s="62">
        <f t="shared" si="48"/>
        <v>0</v>
      </c>
    </row>
    <row r="130" spans="1:19" hidden="1" x14ac:dyDescent="0.2">
      <c r="A130" s="5"/>
      <c r="B130" s="8"/>
      <c r="C130" s="18"/>
      <c r="D130" s="18"/>
      <c r="E130" s="18"/>
      <c r="F130" s="18"/>
      <c r="G130" s="18"/>
      <c r="H130" s="18"/>
      <c r="I130" s="61"/>
      <c r="J130" s="68"/>
      <c r="K130" s="68"/>
      <c r="L130" s="68"/>
      <c r="M130" s="68"/>
      <c r="N130" s="68"/>
      <c r="O130" s="18"/>
      <c r="P130" s="18"/>
      <c r="Q130" s="61">
        <f>SUM(J125:P129)/(R130*2)</f>
        <v>124.41666666666667</v>
      </c>
      <c r="R130" s="62">
        <f>SUM(R125:R129)</f>
        <v>18</v>
      </c>
    </row>
    <row r="131" spans="1:19" ht="13.5" thickBot="1" x14ac:dyDescent="0.25">
      <c r="A131" s="5"/>
      <c r="B131" s="8"/>
      <c r="C131" s="18"/>
      <c r="D131" s="6"/>
      <c r="E131" s="6"/>
      <c r="F131" s="6"/>
      <c r="G131" s="6"/>
      <c r="H131" s="6"/>
      <c r="I131" s="6"/>
      <c r="J131" s="69"/>
      <c r="K131" s="69"/>
      <c r="L131" s="69"/>
      <c r="M131" s="69"/>
      <c r="N131" s="69"/>
      <c r="O131" s="6"/>
      <c r="P131" s="6"/>
      <c r="Q131" s="4"/>
    </row>
    <row r="132" spans="1:19" ht="13.5" thickBot="1" x14ac:dyDescent="0.25">
      <c r="A132" s="82">
        <v>17</v>
      </c>
      <c r="B132" s="116" t="s">
        <v>140</v>
      </c>
      <c r="C132" s="78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80"/>
      <c r="Q132" s="26"/>
      <c r="R132" s="62">
        <f>COUNTIF(J132:P132,"&gt;1")</f>
        <v>0</v>
      </c>
    </row>
    <row r="133" spans="1:19" ht="15" x14ac:dyDescent="0.25">
      <c r="A133" s="83">
        <v>17</v>
      </c>
      <c r="B133" s="139" t="s">
        <v>146</v>
      </c>
      <c r="C133" s="77">
        <f>116+73</f>
        <v>189</v>
      </c>
      <c r="D133" s="25">
        <f>103+105</f>
        <v>208</v>
      </c>
      <c r="E133" s="25">
        <f>91+66</f>
        <v>157</v>
      </c>
      <c r="F133" s="25">
        <f>122+92</f>
        <v>214</v>
      </c>
      <c r="G133" s="25">
        <f>94+104</f>
        <v>198</v>
      </c>
      <c r="H133" s="76">
        <v>197</v>
      </c>
      <c r="I133" s="28">
        <f>AVERAGE(C133:H133)/2</f>
        <v>96.916666666666671</v>
      </c>
      <c r="J133" s="66">
        <f>106+68</f>
        <v>174</v>
      </c>
      <c r="K133" s="66">
        <f>117+111</f>
        <v>228</v>
      </c>
      <c r="L133" s="66">
        <f>95+93</f>
        <v>188</v>
      </c>
      <c r="M133" s="66">
        <f>131+134</f>
        <v>265</v>
      </c>
      <c r="N133" s="66">
        <f>163+155</f>
        <v>318</v>
      </c>
      <c r="O133" s="25">
        <f>99+85</f>
        <v>184</v>
      </c>
      <c r="P133" s="25"/>
      <c r="Q133" s="28">
        <f>AVERAGE(J133:P133)/2</f>
        <v>113.08333333333333</v>
      </c>
      <c r="R133" s="62">
        <f>COUNTIF(J133:P133,"&gt;1")</f>
        <v>6</v>
      </c>
      <c r="S133" s="6"/>
    </row>
    <row r="134" spans="1:19" ht="15" x14ac:dyDescent="0.25">
      <c r="A134" s="83">
        <v>17</v>
      </c>
      <c r="B134" s="138" t="s">
        <v>147</v>
      </c>
      <c r="C134" s="24">
        <f>112+110</f>
        <v>222</v>
      </c>
      <c r="D134" s="58">
        <f>129+138</f>
        <v>267</v>
      </c>
      <c r="E134" s="58">
        <f>109+106</f>
        <v>215</v>
      </c>
      <c r="F134" s="58">
        <f>117+110</f>
        <v>227</v>
      </c>
      <c r="G134" s="58">
        <f>116+110</f>
        <v>226</v>
      </c>
      <c r="H134" s="43">
        <v>226</v>
      </c>
      <c r="I134" s="28">
        <f t="shared" ref="I134:I137" si="49">AVERAGE(C134:H134)/2</f>
        <v>115.25</v>
      </c>
      <c r="J134" s="67">
        <f>108+141</f>
        <v>249</v>
      </c>
      <c r="K134" s="67">
        <f>141+149</f>
        <v>290</v>
      </c>
      <c r="L134" s="67">
        <f>127+143</f>
        <v>270</v>
      </c>
      <c r="M134" s="67">
        <f>127+159</f>
        <v>286</v>
      </c>
      <c r="N134" s="67">
        <f>139+141</f>
        <v>280</v>
      </c>
      <c r="O134" s="58">
        <f>134+125</f>
        <v>259</v>
      </c>
      <c r="P134" s="58"/>
      <c r="Q134" s="28">
        <f t="shared" ref="Q134:Q137" si="50">AVERAGE(J134:P134)/2</f>
        <v>136.16666666666666</v>
      </c>
      <c r="R134" s="62">
        <f t="shared" ref="R134:R137" si="51">COUNTIF(J134:P134,"&gt;1")</f>
        <v>6</v>
      </c>
      <c r="S134" s="6"/>
    </row>
    <row r="135" spans="1:19" ht="15" x14ac:dyDescent="0.25">
      <c r="A135" s="83">
        <v>17</v>
      </c>
      <c r="B135" s="138" t="s">
        <v>148</v>
      </c>
      <c r="C135" s="24">
        <f>114+135</f>
        <v>249</v>
      </c>
      <c r="D135" s="58">
        <f>82+137</f>
        <v>219</v>
      </c>
      <c r="E135" s="58">
        <f>89+112</f>
        <v>201</v>
      </c>
      <c r="F135" s="58">
        <f>90+102</f>
        <v>192</v>
      </c>
      <c r="G135" s="58">
        <f>120+144</f>
        <v>264</v>
      </c>
      <c r="H135" s="43">
        <v>215</v>
      </c>
      <c r="I135" s="28">
        <f t="shared" si="49"/>
        <v>111.66666666666667</v>
      </c>
      <c r="J135" s="67">
        <f>101+135</f>
        <v>236</v>
      </c>
      <c r="K135" s="67">
        <f>111+106</f>
        <v>217</v>
      </c>
      <c r="L135" s="67">
        <f>108+128</f>
        <v>236</v>
      </c>
      <c r="M135" s="67">
        <f>99+80</f>
        <v>179</v>
      </c>
      <c r="N135" s="67">
        <f>116+112</f>
        <v>228</v>
      </c>
      <c r="O135" s="58">
        <f>119+98</f>
        <v>217</v>
      </c>
      <c r="P135" s="58"/>
      <c r="Q135" s="28">
        <f t="shared" si="50"/>
        <v>109.41666666666667</v>
      </c>
      <c r="R135" s="62">
        <f t="shared" si="51"/>
        <v>6</v>
      </c>
      <c r="S135" s="6"/>
    </row>
    <row r="136" spans="1:19" ht="15" x14ac:dyDescent="0.25">
      <c r="A136" s="83">
        <v>17</v>
      </c>
      <c r="B136" s="113"/>
      <c r="C136" s="24">
        <v>0</v>
      </c>
      <c r="D136" s="58"/>
      <c r="E136" s="58"/>
      <c r="F136" s="58"/>
      <c r="G136" s="58"/>
      <c r="H136" s="43"/>
      <c r="I136" s="28">
        <f t="shared" si="49"/>
        <v>0</v>
      </c>
      <c r="J136" s="67">
        <v>0</v>
      </c>
      <c r="K136" s="67"/>
      <c r="L136" s="67"/>
      <c r="M136" s="67"/>
      <c r="N136" s="67"/>
      <c r="O136" s="58"/>
      <c r="P136" s="58"/>
      <c r="Q136" s="28">
        <f t="shared" si="50"/>
        <v>0</v>
      </c>
      <c r="R136" s="62">
        <f t="shared" si="51"/>
        <v>0</v>
      </c>
      <c r="S136" s="6"/>
    </row>
    <row r="137" spans="1:19" ht="15.75" thickBot="1" x14ac:dyDescent="0.3">
      <c r="A137" s="84">
        <v>17</v>
      </c>
      <c r="B137" s="111" t="s">
        <v>16</v>
      </c>
      <c r="C137" s="75">
        <v>0</v>
      </c>
      <c r="D137" s="13"/>
      <c r="E137" s="13"/>
      <c r="F137" s="13"/>
      <c r="G137" s="13"/>
      <c r="H137" s="44"/>
      <c r="I137" s="28">
        <f t="shared" si="49"/>
        <v>0</v>
      </c>
      <c r="J137" s="67">
        <v>0</v>
      </c>
      <c r="K137" s="67"/>
      <c r="L137" s="67"/>
      <c r="M137" s="67"/>
      <c r="N137" s="67"/>
      <c r="O137" s="58"/>
      <c r="P137" s="58"/>
      <c r="Q137" s="28">
        <f t="shared" si="50"/>
        <v>0</v>
      </c>
      <c r="R137" s="62">
        <f t="shared" si="51"/>
        <v>0</v>
      </c>
    </row>
    <row r="138" spans="1:19" hidden="1" x14ac:dyDescent="0.2">
      <c r="A138" s="5"/>
      <c r="B138" s="8"/>
      <c r="C138" s="18"/>
      <c r="D138" s="18"/>
      <c r="E138" s="18"/>
      <c r="F138" s="18"/>
      <c r="G138" s="18"/>
      <c r="H138" s="18"/>
      <c r="I138" s="61"/>
      <c r="J138" s="68"/>
      <c r="K138" s="68"/>
      <c r="L138" s="68"/>
      <c r="M138" s="68"/>
      <c r="N138" s="68"/>
      <c r="O138" s="18"/>
      <c r="P138" s="18"/>
      <c r="Q138" s="61">
        <f>SUM(J133:P137)/(R138*2)</f>
        <v>119.55555555555556</v>
      </c>
      <c r="R138" s="62">
        <f>SUM(R133:R137)</f>
        <v>18</v>
      </c>
    </row>
    <row r="139" spans="1:19" ht="13.5" thickBot="1" x14ac:dyDescent="0.25">
      <c r="A139" s="5"/>
      <c r="B139" s="8"/>
      <c r="C139" s="18"/>
      <c r="D139" s="6"/>
      <c r="E139" s="6"/>
      <c r="F139" s="6"/>
      <c r="G139" s="6"/>
      <c r="H139" s="6"/>
      <c r="I139" s="4"/>
      <c r="J139" s="69"/>
      <c r="K139" s="69"/>
      <c r="L139" s="69"/>
      <c r="M139" s="69"/>
      <c r="N139" s="69"/>
      <c r="O139" s="6"/>
      <c r="P139" s="6"/>
      <c r="Q139" s="4"/>
    </row>
    <row r="140" spans="1:19" ht="13.5" thickBot="1" x14ac:dyDescent="0.25">
      <c r="A140" s="82">
        <v>18</v>
      </c>
      <c r="B140" s="116" t="s">
        <v>56</v>
      </c>
      <c r="C140" s="78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80"/>
      <c r="Q140" s="26"/>
      <c r="R140" s="62">
        <f>COUNTIF(J140:P140,"&gt;1")</f>
        <v>0</v>
      </c>
    </row>
    <row r="141" spans="1:19" ht="15" x14ac:dyDescent="0.25">
      <c r="A141" s="83">
        <v>18</v>
      </c>
      <c r="B141" s="109" t="s">
        <v>57</v>
      </c>
      <c r="C141" s="77">
        <f>128+124</f>
        <v>252</v>
      </c>
      <c r="D141" s="25">
        <f>124+119</f>
        <v>243</v>
      </c>
      <c r="E141" s="25">
        <f>103+104</f>
        <v>207</v>
      </c>
      <c r="F141" s="25">
        <f>118+144</f>
        <v>262</v>
      </c>
      <c r="G141" s="25">
        <f>121+150</f>
        <v>271</v>
      </c>
      <c r="H141" s="76">
        <f>138+106</f>
        <v>244</v>
      </c>
      <c r="I141" s="28">
        <f>AVERAGE(C141:H141)/2</f>
        <v>123.25</v>
      </c>
      <c r="J141" s="66"/>
      <c r="K141" s="66">
        <f>117+134</f>
        <v>251</v>
      </c>
      <c r="L141" s="66">
        <f>130+88</f>
        <v>218</v>
      </c>
      <c r="M141" s="66">
        <f>111+100</f>
        <v>211</v>
      </c>
      <c r="N141" s="66">
        <f>136+122</f>
        <v>258</v>
      </c>
      <c r="O141" s="25">
        <f>140+190</f>
        <v>330</v>
      </c>
      <c r="P141" s="25"/>
      <c r="Q141" s="28">
        <f>AVERAGE(J141:P141)/2</f>
        <v>126.8</v>
      </c>
      <c r="R141" s="62">
        <f>COUNTIF(J141:P141,"&gt;1")</f>
        <v>5</v>
      </c>
    </row>
    <row r="142" spans="1:19" ht="15" x14ac:dyDescent="0.25">
      <c r="A142" s="83">
        <v>18</v>
      </c>
      <c r="B142" s="114" t="s">
        <v>22</v>
      </c>
      <c r="C142" s="24">
        <f>114+150</f>
        <v>264</v>
      </c>
      <c r="D142" s="58">
        <f>143+112</f>
        <v>255</v>
      </c>
      <c r="E142" s="58">
        <f>120+156</f>
        <v>276</v>
      </c>
      <c r="F142" s="58"/>
      <c r="G142" s="58">
        <f>128+113</f>
        <v>241</v>
      </c>
      <c r="H142" s="43">
        <f>156+171</f>
        <v>327</v>
      </c>
      <c r="I142" s="28">
        <f t="shared" ref="I142:I145" si="52">AVERAGE(C142:H142)/2</f>
        <v>136.30000000000001</v>
      </c>
      <c r="J142" s="67"/>
      <c r="K142" s="67">
        <f>141+104</f>
        <v>245</v>
      </c>
      <c r="L142" s="67">
        <f>120+156</f>
        <v>276</v>
      </c>
      <c r="M142" s="67">
        <f>114+154</f>
        <v>268</v>
      </c>
      <c r="N142" s="67"/>
      <c r="O142" s="58">
        <f>150+145</f>
        <v>295</v>
      </c>
      <c r="P142" s="58"/>
      <c r="Q142" s="28">
        <f t="shared" ref="Q142:Q145" si="53">AVERAGE(J142:P142)/2</f>
        <v>135.5</v>
      </c>
      <c r="R142" s="62">
        <f t="shared" ref="R142:R145" si="54">COUNTIF(J142:P142,"&gt;1")</f>
        <v>4</v>
      </c>
    </row>
    <row r="143" spans="1:19" ht="15" x14ac:dyDescent="0.25">
      <c r="A143" s="83">
        <v>18</v>
      </c>
      <c r="B143" s="110" t="s">
        <v>58</v>
      </c>
      <c r="C143" s="24">
        <f>147+136</f>
        <v>283</v>
      </c>
      <c r="D143" s="58"/>
      <c r="E143" s="58">
        <f>144+143</f>
        <v>287</v>
      </c>
      <c r="F143" s="58">
        <f>166+156</f>
        <v>322</v>
      </c>
      <c r="G143" s="58">
        <f>159+124</f>
        <v>283</v>
      </c>
      <c r="H143" s="43"/>
      <c r="I143" s="28">
        <f t="shared" si="52"/>
        <v>146.875</v>
      </c>
      <c r="J143" s="67">
        <f>148+137</f>
        <v>285</v>
      </c>
      <c r="K143" s="67"/>
      <c r="L143" s="67">
        <f>105+151</f>
        <v>256</v>
      </c>
      <c r="M143" s="67">
        <f>154+163</f>
        <v>317</v>
      </c>
      <c r="N143" s="67">
        <f>143+123</f>
        <v>266</v>
      </c>
      <c r="O143" s="58"/>
      <c r="P143" s="58"/>
      <c r="Q143" s="28">
        <f t="shared" si="53"/>
        <v>140.5</v>
      </c>
      <c r="R143" s="62">
        <f t="shared" si="54"/>
        <v>4</v>
      </c>
    </row>
    <row r="144" spans="1:19" ht="15" x14ac:dyDescent="0.25">
      <c r="A144" s="83">
        <v>18</v>
      </c>
      <c r="B144" s="110" t="s">
        <v>11</v>
      </c>
      <c r="C144" s="24"/>
      <c r="D144" s="58">
        <f>172+170</f>
        <v>342</v>
      </c>
      <c r="E144" s="58">
        <f>147+186</f>
        <v>333</v>
      </c>
      <c r="F144" s="58">
        <f>177+192</f>
        <v>369</v>
      </c>
      <c r="G144" s="58"/>
      <c r="H144" s="43">
        <f>156+138</f>
        <v>294</v>
      </c>
      <c r="I144" s="28">
        <f t="shared" si="52"/>
        <v>167.25</v>
      </c>
      <c r="J144" s="67">
        <f>167+181</f>
        <v>348</v>
      </c>
      <c r="K144" s="67">
        <f>178+202</f>
        <v>380</v>
      </c>
      <c r="L144" s="67"/>
      <c r="M144" s="67">
        <f>191+179</f>
        <v>370</v>
      </c>
      <c r="N144" s="67">
        <f>177+174</f>
        <v>351</v>
      </c>
      <c r="O144" s="58">
        <f>202+167</f>
        <v>369</v>
      </c>
      <c r="P144" s="58"/>
      <c r="Q144" s="28">
        <f t="shared" si="53"/>
        <v>181.8</v>
      </c>
      <c r="R144" s="62">
        <f t="shared" si="54"/>
        <v>5</v>
      </c>
    </row>
    <row r="145" spans="1:21" ht="15.75" thickBot="1" x14ac:dyDescent="0.3">
      <c r="A145" s="84">
        <v>18</v>
      </c>
      <c r="B145" s="132" t="s">
        <v>121</v>
      </c>
      <c r="C145" s="75">
        <f>118+140</f>
        <v>258</v>
      </c>
      <c r="D145" s="13">
        <f>114+154</f>
        <v>268</v>
      </c>
      <c r="E145" s="13"/>
      <c r="F145" s="13">
        <f>126+128</f>
        <v>254</v>
      </c>
      <c r="G145" s="13">
        <f>126+96</f>
        <v>222</v>
      </c>
      <c r="H145" s="44">
        <f>108+156</f>
        <v>264</v>
      </c>
      <c r="I145" s="28">
        <f t="shared" si="52"/>
        <v>126.6</v>
      </c>
      <c r="J145" s="67">
        <f>140+124</f>
        <v>264</v>
      </c>
      <c r="K145" s="67">
        <f>88+97</f>
        <v>185</v>
      </c>
      <c r="L145" s="67">
        <f>122+119</f>
        <v>241</v>
      </c>
      <c r="M145" s="67"/>
      <c r="N145" s="67">
        <f>123+141</f>
        <v>264</v>
      </c>
      <c r="O145" s="58">
        <f>114+124</f>
        <v>238</v>
      </c>
      <c r="P145" s="58"/>
      <c r="Q145" s="28">
        <f t="shared" si="53"/>
        <v>119.2</v>
      </c>
      <c r="R145" s="62">
        <f t="shared" si="54"/>
        <v>5</v>
      </c>
    </row>
    <row r="146" spans="1:21" ht="15" hidden="1" x14ac:dyDescent="0.25">
      <c r="A146" s="49"/>
      <c r="B146" s="49"/>
      <c r="C146" s="18"/>
      <c r="D146" s="18"/>
      <c r="E146" s="18"/>
      <c r="F146" s="18"/>
      <c r="G146" s="18"/>
      <c r="H146" s="18"/>
      <c r="I146" s="61"/>
      <c r="J146" s="68"/>
      <c r="K146" s="68"/>
      <c r="L146" s="68"/>
      <c r="M146" s="68"/>
      <c r="N146" s="68"/>
      <c r="O146" s="18"/>
      <c r="P146" s="18"/>
      <c r="Q146" s="61">
        <f>SUM(J141:P145)/(R146*2)</f>
        <v>141</v>
      </c>
      <c r="R146" s="62">
        <f>SUM(R141:R145)</f>
        <v>23</v>
      </c>
    </row>
    <row r="147" spans="1:21" ht="13.5" thickBot="1" x14ac:dyDescent="0.25">
      <c r="A147" s="18"/>
      <c r="B147" s="18"/>
      <c r="C147" s="18"/>
      <c r="D147" s="18"/>
      <c r="E147" s="18"/>
      <c r="F147" s="18"/>
      <c r="G147" s="18"/>
      <c r="H147" s="18"/>
      <c r="J147" s="68"/>
      <c r="K147" s="68"/>
      <c r="L147" s="68"/>
      <c r="M147" s="68"/>
      <c r="N147" s="68"/>
      <c r="O147" s="18"/>
      <c r="P147" s="18"/>
    </row>
    <row r="148" spans="1:21" ht="13.5" thickBot="1" x14ac:dyDescent="0.25">
      <c r="A148" s="82">
        <v>19</v>
      </c>
      <c r="B148" s="116" t="s">
        <v>71</v>
      </c>
      <c r="C148" s="78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80"/>
      <c r="Q148" s="26"/>
    </row>
    <row r="149" spans="1:21" ht="15" x14ac:dyDescent="0.25">
      <c r="A149" s="83">
        <v>19</v>
      </c>
      <c r="B149" s="119" t="s">
        <v>67</v>
      </c>
      <c r="C149" s="77">
        <f>96+98</f>
        <v>194</v>
      </c>
      <c r="D149" s="25">
        <f>81+80</f>
        <v>161</v>
      </c>
      <c r="E149" s="25">
        <f>68+92</f>
        <v>160</v>
      </c>
      <c r="F149" s="25">
        <f>72+118</f>
        <v>190</v>
      </c>
      <c r="G149" s="25">
        <v>203</v>
      </c>
      <c r="H149" s="76">
        <v>191</v>
      </c>
      <c r="I149" s="28">
        <f>AVERAGE(C149:H149)/2</f>
        <v>91.583333333333329</v>
      </c>
      <c r="J149" s="66">
        <f>81+100</f>
        <v>181</v>
      </c>
      <c r="K149" s="66"/>
      <c r="L149" s="66"/>
      <c r="M149" s="66"/>
      <c r="N149" s="66"/>
      <c r="O149" s="25"/>
      <c r="P149" s="25"/>
      <c r="Q149" s="28">
        <f>AVERAGE(J149:P149)/2</f>
        <v>90.5</v>
      </c>
      <c r="R149" s="62">
        <f>COUNTIF(J149:P149,"&gt;1")</f>
        <v>1</v>
      </c>
    </row>
    <row r="150" spans="1:21" ht="15" x14ac:dyDescent="0.25">
      <c r="A150" s="83">
        <v>19</v>
      </c>
      <c r="B150" s="119" t="s">
        <v>68</v>
      </c>
      <c r="C150" s="24">
        <f>105+98</f>
        <v>203</v>
      </c>
      <c r="D150" s="58">
        <f>110+119</f>
        <v>229</v>
      </c>
      <c r="E150" s="58">
        <f>91+108</f>
        <v>199</v>
      </c>
      <c r="F150" s="58">
        <f>100+70</f>
        <v>170</v>
      </c>
      <c r="G150" s="58">
        <v>240</v>
      </c>
      <c r="H150" s="43">
        <v>201</v>
      </c>
      <c r="I150" s="28">
        <f t="shared" ref="I150:I153" si="55">AVERAGE(C150:H150)/2</f>
        <v>103.5</v>
      </c>
      <c r="J150" s="67">
        <f>90+125</f>
        <v>215</v>
      </c>
      <c r="K150" s="67">
        <f>71+128</f>
        <v>199</v>
      </c>
      <c r="L150" s="67">
        <f>99+116</f>
        <v>215</v>
      </c>
      <c r="M150" s="67">
        <f>105*2</f>
        <v>210</v>
      </c>
      <c r="N150" s="67">
        <v>210</v>
      </c>
      <c r="O150" s="58">
        <v>210</v>
      </c>
      <c r="P150" s="58"/>
      <c r="Q150" s="28">
        <f t="shared" ref="Q150:Q153" si="56">AVERAGE(J150:P150)/2</f>
        <v>104.91666666666667</v>
      </c>
      <c r="R150" s="62">
        <f t="shared" ref="R150:R153" si="57">COUNTIF(J150:P150,"&gt;1")</f>
        <v>6</v>
      </c>
    </row>
    <row r="151" spans="1:21" ht="15" x14ac:dyDescent="0.25">
      <c r="A151" s="83">
        <v>19</v>
      </c>
      <c r="B151" s="119" t="s">
        <v>69</v>
      </c>
      <c r="C151" s="24">
        <f>109+137</f>
        <v>246</v>
      </c>
      <c r="D151" s="58">
        <f>93+94</f>
        <v>187</v>
      </c>
      <c r="E151" s="58">
        <f>101+90</f>
        <v>191</v>
      </c>
      <c r="F151" s="58">
        <f>104+118</f>
        <v>222</v>
      </c>
      <c r="G151" s="58">
        <v>237</v>
      </c>
      <c r="H151" s="43">
        <v>199</v>
      </c>
      <c r="I151" s="28">
        <f t="shared" si="55"/>
        <v>106.83333333333333</v>
      </c>
      <c r="J151" s="67">
        <f>102+90</f>
        <v>192</v>
      </c>
      <c r="K151" s="67">
        <f>72+107</f>
        <v>179</v>
      </c>
      <c r="L151" s="67">
        <f>120+112</f>
        <v>232</v>
      </c>
      <c r="M151" s="67">
        <v>202</v>
      </c>
      <c r="N151" s="67">
        <v>202</v>
      </c>
      <c r="O151" s="58">
        <f>101*2</f>
        <v>202</v>
      </c>
      <c r="P151" s="58"/>
      <c r="Q151" s="28">
        <f t="shared" si="56"/>
        <v>100.75</v>
      </c>
      <c r="R151" s="62">
        <f t="shared" si="57"/>
        <v>6</v>
      </c>
      <c r="S151" s="6"/>
      <c r="T151" s="6"/>
      <c r="U151" s="6"/>
    </row>
    <row r="152" spans="1:21" ht="15" x14ac:dyDescent="0.25">
      <c r="A152" s="83">
        <v>19</v>
      </c>
      <c r="B152" s="119" t="s">
        <v>70</v>
      </c>
      <c r="C152" s="24">
        <f>76+127</f>
        <v>203</v>
      </c>
      <c r="D152" s="58">
        <f>98+88</f>
        <v>186</v>
      </c>
      <c r="E152" s="58">
        <f>94+72</f>
        <v>166</v>
      </c>
      <c r="F152" s="58">
        <f>118+70</f>
        <v>188</v>
      </c>
      <c r="G152" s="58">
        <v>204</v>
      </c>
      <c r="H152" s="43">
        <v>189</v>
      </c>
      <c r="I152" s="28">
        <f t="shared" si="55"/>
        <v>94.666666666666671</v>
      </c>
      <c r="J152" s="67">
        <f>86+90</f>
        <v>176</v>
      </c>
      <c r="K152" s="67">
        <f>83+72</f>
        <v>155</v>
      </c>
      <c r="L152" s="67">
        <f>88+130</f>
        <v>218</v>
      </c>
      <c r="M152" s="67">
        <v>184</v>
      </c>
      <c r="N152" s="67">
        <f>92*2</f>
        <v>184</v>
      </c>
      <c r="O152" s="58">
        <v>184</v>
      </c>
      <c r="P152" s="58"/>
      <c r="Q152" s="28">
        <f t="shared" si="56"/>
        <v>91.75</v>
      </c>
      <c r="R152" s="62">
        <f t="shared" si="57"/>
        <v>6</v>
      </c>
      <c r="S152" s="6"/>
      <c r="T152" s="6"/>
      <c r="U152" s="6"/>
    </row>
    <row r="153" spans="1:21" ht="15.75" thickBot="1" x14ac:dyDescent="0.3">
      <c r="A153" s="84">
        <v>19</v>
      </c>
      <c r="B153" s="90" t="s">
        <v>16</v>
      </c>
      <c r="C153" s="75">
        <v>0</v>
      </c>
      <c r="D153" s="13"/>
      <c r="E153" s="13"/>
      <c r="F153" s="13"/>
      <c r="G153" s="13"/>
      <c r="H153" s="44"/>
      <c r="I153" s="28">
        <f t="shared" si="55"/>
        <v>0</v>
      </c>
      <c r="J153" s="67">
        <v>0</v>
      </c>
      <c r="K153" s="67"/>
      <c r="L153" s="67"/>
      <c r="M153" s="67"/>
      <c r="N153" s="67"/>
      <c r="O153" s="58"/>
      <c r="P153" s="58"/>
      <c r="Q153" s="28">
        <f t="shared" si="56"/>
        <v>0</v>
      </c>
      <c r="R153" s="62">
        <f t="shared" si="57"/>
        <v>0</v>
      </c>
      <c r="S153" s="6"/>
      <c r="T153" s="6"/>
      <c r="U153" s="6"/>
    </row>
    <row r="154" spans="1:21" hidden="1" x14ac:dyDescent="0.2">
      <c r="A154" s="5"/>
      <c r="B154" s="9"/>
      <c r="C154" s="18"/>
      <c r="D154" s="18"/>
      <c r="E154" s="18"/>
      <c r="F154" s="18"/>
      <c r="G154" s="18"/>
      <c r="H154" s="18"/>
      <c r="I154" s="61"/>
      <c r="J154" s="68"/>
      <c r="K154" s="68"/>
      <c r="L154" s="68"/>
      <c r="M154" s="68"/>
      <c r="N154" s="68"/>
      <c r="O154" s="18"/>
      <c r="P154" s="18"/>
      <c r="Q154" s="61">
        <f>SUM(J149:P153)/(R154*2)</f>
        <v>98.684210526315795</v>
      </c>
      <c r="R154" s="62">
        <f>SUM(R149:R153)</f>
        <v>19</v>
      </c>
      <c r="S154" s="6"/>
      <c r="T154" s="6"/>
      <c r="U154" s="6"/>
    </row>
    <row r="155" spans="1:21" ht="13.5" thickBot="1" x14ac:dyDescent="0.25">
      <c r="A155" s="5"/>
      <c r="B155" s="9"/>
      <c r="C155" s="18"/>
      <c r="D155" s="6"/>
      <c r="E155" s="6"/>
      <c r="F155" s="6"/>
      <c r="G155" s="6"/>
      <c r="H155" s="6"/>
      <c r="I155" s="4"/>
      <c r="J155" s="69"/>
      <c r="K155" s="69"/>
      <c r="L155" s="69"/>
      <c r="M155" s="69"/>
      <c r="N155" s="69"/>
      <c r="O155" s="6"/>
      <c r="P155" s="6"/>
      <c r="Q155" s="4"/>
      <c r="S155" s="6"/>
      <c r="T155" s="6"/>
      <c r="U155" s="6"/>
    </row>
    <row r="156" spans="1:21" ht="13.5" thickBot="1" x14ac:dyDescent="0.25">
      <c r="A156" s="82">
        <v>20</v>
      </c>
      <c r="B156" s="116" t="s">
        <v>72</v>
      </c>
      <c r="C156" s="78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80"/>
      <c r="Q156" s="26"/>
      <c r="R156" s="62">
        <f>COUNTIF(J156:P156,"&gt;1")</f>
        <v>0</v>
      </c>
      <c r="S156" s="6"/>
      <c r="T156" s="6"/>
      <c r="U156" s="6"/>
    </row>
    <row r="157" spans="1:21" ht="15" x14ac:dyDescent="0.25">
      <c r="A157" s="83">
        <v>20</v>
      </c>
      <c r="B157" s="120" t="s">
        <v>73</v>
      </c>
      <c r="C157" s="77">
        <f>83+98</f>
        <v>181</v>
      </c>
      <c r="D157" s="25">
        <f>60+79</f>
        <v>139</v>
      </c>
      <c r="E157" s="25">
        <f>115+93</f>
        <v>208</v>
      </c>
      <c r="F157" s="25"/>
      <c r="G157" s="25"/>
      <c r="H157" s="76">
        <f>116+88</f>
        <v>204</v>
      </c>
      <c r="I157" s="28">
        <f>AVERAGE(C157:H157)/2</f>
        <v>91.5</v>
      </c>
      <c r="J157" s="66">
        <f>131+114</f>
        <v>245</v>
      </c>
      <c r="K157" s="66"/>
      <c r="L157" s="66">
        <f>91+92</f>
        <v>183</v>
      </c>
      <c r="M157" s="66">
        <f>87+81</f>
        <v>168</v>
      </c>
      <c r="N157" s="66">
        <f>80+76</f>
        <v>156</v>
      </c>
      <c r="O157" s="25">
        <f>94*2</f>
        <v>188</v>
      </c>
      <c r="P157" s="25"/>
      <c r="Q157" s="28">
        <f>AVERAGE(J157:P157)/2</f>
        <v>94</v>
      </c>
      <c r="R157" s="62">
        <f>COUNTIF(J157:P157,"&gt;1")</f>
        <v>5</v>
      </c>
      <c r="S157" s="6"/>
      <c r="T157" s="6"/>
      <c r="U157" s="6"/>
    </row>
    <row r="158" spans="1:21" ht="15" x14ac:dyDescent="0.25">
      <c r="A158" s="83">
        <v>20</v>
      </c>
      <c r="B158" s="120" t="s">
        <v>74</v>
      </c>
      <c r="C158" s="24"/>
      <c r="D158" s="58">
        <f>102+63</f>
        <v>165</v>
      </c>
      <c r="E158" s="58">
        <f>91+114</f>
        <v>205</v>
      </c>
      <c r="F158" s="58">
        <f>98+84</f>
        <v>182</v>
      </c>
      <c r="G158" s="58">
        <f>83+184</f>
        <v>267</v>
      </c>
      <c r="H158" s="43"/>
      <c r="I158" s="28">
        <f t="shared" ref="I158:I161" si="58">AVERAGE(C158:H158)/2</f>
        <v>102.375</v>
      </c>
      <c r="J158" s="67">
        <f>105+93</f>
        <v>198</v>
      </c>
      <c r="K158" s="67">
        <f>66+105</f>
        <v>171</v>
      </c>
      <c r="L158" s="67">
        <f>79+96</f>
        <v>175</v>
      </c>
      <c r="M158" s="67">
        <f>82+96</f>
        <v>178</v>
      </c>
      <c r="N158" s="67">
        <f>61+85</f>
        <v>146</v>
      </c>
      <c r="O158" s="58">
        <f>87*2</f>
        <v>174</v>
      </c>
      <c r="P158" s="58"/>
      <c r="Q158" s="28">
        <f t="shared" ref="Q158:Q161" si="59">AVERAGE(J158:P158)/2</f>
        <v>86.833333333333329</v>
      </c>
      <c r="R158" s="62">
        <f t="shared" ref="R158:R161" si="60">COUNTIF(J158:P158,"&gt;1")</f>
        <v>6</v>
      </c>
      <c r="S158" s="6"/>
      <c r="T158" s="6"/>
      <c r="U158" s="6"/>
    </row>
    <row r="159" spans="1:21" ht="15" x14ac:dyDescent="0.25">
      <c r="A159" s="83">
        <v>20</v>
      </c>
      <c r="B159" s="120" t="s">
        <v>75</v>
      </c>
      <c r="C159" s="24">
        <f>92+68</f>
        <v>160</v>
      </c>
      <c r="D159" s="58"/>
      <c r="E159" s="58"/>
      <c r="F159" s="58">
        <f>82+101</f>
        <v>183</v>
      </c>
      <c r="G159" s="58"/>
      <c r="H159" s="43"/>
      <c r="I159" s="28">
        <f t="shared" si="58"/>
        <v>85.75</v>
      </c>
      <c r="J159" s="67">
        <f>65+107</f>
        <v>172</v>
      </c>
      <c r="K159" s="67">
        <f>107+94</f>
        <v>201</v>
      </c>
      <c r="L159" s="67"/>
      <c r="M159" s="67"/>
      <c r="N159" s="67">
        <f>91+137</f>
        <v>228</v>
      </c>
      <c r="O159" s="58">
        <v>200</v>
      </c>
      <c r="P159" s="58"/>
      <c r="Q159" s="28">
        <f t="shared" si="59"/>
        <v>100.125</v>
      </c>
      <c r="R159" s="62">
        <f t="shared" si="60"/>
        <v>4</v>
      </c>
      <c r="S159" s="6"/>
      <c r="T159" s="6"/>
      <c r="U159" s="6"/>
    </row>
    <row r="160" spans="1:21" ht="15" x14ac:dyDescent="0.25">
      <c r="A160" s="83">
        <v>20</v>
      </c>
      <c r="B160" s="120" t="s">
        <v>76</v>
      </c>
      <c r="C160" s="24">
        <f>111+104</f>
        <v>215</v>
      </c>
      <c r="D160" s="58">
        <f>85+113</f>
        <v>198</v>
      </c>
      <c r="E160" s="58">
        <f>73+77</f>
        <v>150</v>
      </c>
      <c r="F160" s="58">
        <f>93+103</f>
        <v>196</v>
      </c>
      <c r="G160" s="58">
        <f>86+108</f>
        <v>194</v>
      </c>
      <c r="H160" s="43">
        <f>113+81</f>
        <v>194</v>
      </c>
      <c r="I160" s="28">
        <f t="shared" si="58"/>
        <v>95.583333333333329</v>
      </c>
      <c r="J160" s="67">
        <f>94+114</f>
        <v>208</v>
      </c>
      <c r="K160" s="67">
        <f>102+75</f>
        <v>177</v>
      </c>
      <c r="L160" s="67">
        <f>93+85</f>
        <v>178</v>
      </c>
      <c r="M160" s="67">
        <f>94+81</f>
        <v>175</v>
      </c>
      <c r="N160" s="67">
        <f>99+87</f>
        <v>186</v>
      </c>
      <c r="O160" s="58">
        <f>92*2</f>
        <v>184</v>
      </c>
      <c r="P160" s="58"/>
      <c r="Q160" s="28">
        <f t="shared" si="59"/>
        <v>92.333333333333329</v>
      </c>
      <c r="R160" s="62">
        <f t="shared" si="60"/>
        <v>6</v>
      </c>
      <c r="S160" s="6"/>
      <c r="T160" s="6"/>
      <c r="U160" s="6"/>
    </row>
    <row r="161" spans="1:21" ht="15.75" thickBot="1" x14ac:dyDescent="0.3">
      <c r="A161" s="84">
        <v>20</v>
      </c>
      <c r="B161" s="132" t="s">
        <v>120</v>
      </c>
      <c r="C161" s="75"/>
      <c r="D161" s="13">
        <f>117+117</f>
        <v>234</v>
      </c>
      <c r="E161" s="13">
        <f>133+108</f>
        <v>241</v>
      </c>
      <c r="F161" s="13"/>
      <c r="G161" s="13">
        <f>91+89</f>
        <v>180</v>
      </c>
      <c r="H161" s="44">
        <f>101+121</f>
        <v>222</v>
      </c>
      <c r="I161" s="28">
        <f t="shared" si="58"/>
        <v>109.625</v>
      </c>
      <c r="J161" s="67"/>
      <c r="K161" s="67"/>
      <c r="L161" s="67">
        <f>118+104</f>
        <v>222</v>
      </c>
      <c r="M161" s="67">
        <f>146+135</f>
        <v>281</v>
      </c>
      <c r="N161" s="67"/>
      <c r="O161" s="58"/>
      <c r="P161" s="58"/>
      <c r="Q161" s="28">
        <f t="shared" si="59"/>
        <v>125.75</v>
      </c>
      <c r="R161" s="62">
        <f t="shared" si="60"/>
        <v>2</v>
      </c>
      <c r="S161" s="6"/>
      <c r="T161" s="6"/>
      <c r="U161" s="6"/>
    </row>
    <row r="162" spans="1:21" hidden="1" x14ac:dyDescent="0.2">
      <c r="A162" s="5"/>
      <c r="B162" s="8"/>
      <c r="C162" s="18"/>
      <c r="D162" s="18"/>
      <c r="E162" s="18"/>
      <c r="F162" s="18"/>
      <c r="G162" s="18"/>
      <c r="H162" s="18"/>
      <c r="I162" s="61"/>
      <c r="J162" s="68"/>
      <c r="K162" s="68"/>
      <c r="L162" s="68"/>
      <c r="M162" s="68"/>
      <c r="N162" s="68"/>
      <c r="O162" s="18"/>
      <c r="P162" s="18"/>
      <c r="Q162" s="61">
        <f>SUM(J157:P161)/(R162*2)</f>
        <v>95.521739130434781</v>
      </c>
      <c r="R162" s="62">
        <f>SUM(R157:R161)</f>
        <v>23</v>
      </c>
      <c r="S162" s="6"/>
      <c r="T162" s="6"/>
      <c r="U162" s="6"/>
    </row>
    <row r="163" spans="1:21" ht="13.5" thickBot="1" x14ac:dyDescent="0.25">
      <c r="A163" s="5"/>
      <c r="B163" s="8"/>
      <c r="C163" s="18"/>
      <c r="D163" s="6"/>
      <c r="E163" s="6"/>
      <c r="F163" s="6"/>
      <c r="G163" s="6"/>
      <c r="H163" s="6"/>
      <c r="I163" s="4"/>
      <c r="J163" s="69"/>
      <c r="K163" s="69"/>
      <c r="L163" s="69"/>
      <c r="M163" s="69"/>
      <c r="N163" s="69"/>
      <c r="O163" s="6"/>
      <c r="P163" s="6"/>
      <c r="Q163" s="4"/>
      <c r="S163" s="6"/>
    </row>
    <row r="164" spans="1:21" ht="13.5" thickBot="1" x14ac:dyDescent="0.25">
      <c r="A164" s="82">
        <v>21</v>
      </c>
      <c r="B164" s="116" t="s">
        <v>77</v>
      </c>
      <c r="C164" s="78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80"/>
      <c r="Q164" s="26"/>
      <c r="S164" s="6"/>
    </row>
    <row r="165" spans="1:21" ht="15" x14ac:dyDescent="0.25">
      <c r="A165" s="83">
        <v>21</v>
      </c>
      <c r="B165" s="123" t="s">
        <v>93</v>
      </c>
      <c r="C165" s="77">
        <f>90+74</f>
        <v>164</v>
      </c>
      <c r="D165" s="25">
        <f>96+89</f>
        <v>185</v>
      </c>
      <c r="E165" s="25"/>
      <c r="F165" s="25">
        <f>103+93</f>
        <v>196</v>
      </c>
      <c r="G165" s="25">
        <f>129+106</f>
        <v>235</v>
      </c>
      <c r="H165" s="76">
        <f>74+86</f>
        <v>160</v>
      </c>
      <c r="I165" s="28">
        <f>AVERAGE(C165:H165)/2</f>
        <v>94</v>
      </c>
      <c r="J165" s="66">
        <f>96+87</f>
        <v>183</v>
      </c>
      <c r="K165" s="66"/>
      <c r="L165" s="66">
        <f>96+87</f>
        <v>183</v>
      </c>
      <c r="M165" s="66">
        <f>80+98</f>
        <v>178</v>
      </c>
      <c r="N165" s="66">
        <f>82+100</f>
        <v>182</v>
      </c>
      <c r="O165" s="25">
        <f>133+112</f>
        <v>245</v>
      </c>
      <c r="P165" s="25"/>
      <c r="Q165" s="28">
        <f>AVERAGE(J165:P165)/2</f>
        <v>97.1</v>
      </c>
      <c r="R165" s="62">
        <f>COUNTIF(J165:P165,"&gt;1")</f>
        <v>5</v>
      </c>
      <c r="S165" s="6"/>
    </row>
    <row r="166" spans="1:21" ht="15" x14ac:dyDescent="0.25">
      <c r="A166" s="83">
        <v>21</v>
      </c>
      <c r="B166" s="124" t="s">
        <v>58</v>
      </c>
      <c r="C166" s="24">
        <f>108+109</f>
        <v>217</v>
      </c>
      <c r="D166" s="58">
        <f>90+89</f>
        <v>179</v>
      </c>
      <c r="E166" s="58">
        <f>106+106</f>
        <v>212</v>
      </c>
      <c r="F166" s="58">
        <f>111+94</f>
        <v>205</v>
      </c>
      <c r="G166" s="58">
        <f>114+94</f>
        <v>208</v>
      </c>
      <c r="H166" s="43">
        <f>125+143</f>
        <v>268</v>
      </c>
      <c r="I166" s="28">
        <f t="shared" ref="I166:I169" si="61">AVERAGE(C166:H166)/2</f>
        <v>107.41666666666667</v>
      </c>
      <c r="J166" s="67">
        <f>164+162</f>
        <v>326</v>
      </c>
      <c r="K166" s="67">
        <f>99+121</f>
        <v>220</v>
      </c>
      <c r="L166" s="67">
        <f>128+173</f>
        <v>301</v>
      </c>
      <c r="M166" s="67">
        <f>115+156</f>
        <v>271</v>
      </c>
      <c r="N166" s="67">
        <f>96+94</f>
        <v>190</v>
      </c>
      <c r="O166" s="58"/>
      <c r="P166" s="58"/>
      <c r="Q166" s="28">
        <f t="shared" ref="Q166:Q169" si="62">AVERAGE(J166:P166)/2</f>
        <v>130.80000000000001</v>
      </c>
      <c r="R166" s="62">
        <f t="shared" ref="R166:R169" si="63">COUNTIF(J166:P166,"&gt;1")</f>
        <v>5</v>
      </c>
      <c r="S166" s="6"/>
    </row>
    <row r="167" spans="1:21" ht="15" x14ac:dyDescent="0.25">
      <c r="A167" s="83">
        <v>21</v>
      </c>
      <c r="B167" s="161" t="s">
        <v>95</v>
      </c>
      <c r="C167" s="24">
        <f>105+125</f>
        <v>230</v>
      </c>
      <c r="D167" s="58">
        <f>133+138</f>
        <v>271</v>
      </c>
      <c r="E167" s="58">
        <f>87+103</f>
        <v>190</v>
      </c>
      <c r="F167" s="58"/>
      <c r="G167" s="58"/>
      <c r="H167" s="43"/>
      <c r="I167" s="28">
        <f t="shared" si="61"/>
        <v>115.16666666666667</v>
      </c>
      <c r="J167" s="67"/>
      <c r="K167" s="67"/>
      <c r="L167" s="67"/>
      <c r="M167" s="67"/>
      <c r="N167" s="67"/>
      <c r="O167" s="58">
        <f>129+106</f>
        <v>235</v>
      </c>
      <c r="P167" s="58"/>
      <c r="Q167" s="28">
        <f t="shared" si="62"/>
        <v>117.5</v>
      </c>
      <c r="R167" s="62">
        <f t="shared" si="63"/>
        <v>1</v>
      </c>
      <c r="S167" s="6"/>
    </row>
    <row r="168" spans="1:21" ht="15" x14ac:dyDescent="0.25">
      <c r="A168" s="83">
        <v>21</v>
      </c>
      <c r="B168" s="124" t="s">
        <v>94</v>
      </c>
      <c r="C168" s="24">
        <f>58+78</f>
        <v>136</v>
      </c>
      <c r="D168" s="58">
        <f>72+82</f>
        <v>154</v>
      </c>
      <c r="E168" s="58">
        <f>84+83</f>
        <v>167</v>
      </c>
      <c r="F168" s="58">
        <f>75+76</f>
        <v>151</v>
      </c>
      <c r="G168" s="58">
        <f>90+159</f>
        <v>249</v>
      </c>
      <c r="H168" s="43">
        <f>83+65</f>
        <v>148</v>
      </c>
      <c r="I168" s="28">
        <f t="shared" si="61"/>
        <v>83.75</v>
      </c>
      <c r="J168" s="67">
        <f>99+71</f>
        <v>170</v>
      </c>
      <c r="K168" s="67">
        <f>70+128</f>
        <v>198</v>
      </c>
      <c r="L168" s="67">
        <f>99+71</f>
        <v>170</v>
      </c>
      <c r="M168" s="67">
        <f>100+118</f>
        <v>218</v>
      </c>
      <c r="N168" s="67">
        <f>91+83</f>
        <v>174</v>
      </c>
      <c r="O168" s="58">
        <f>124+102</f>
        <v>226</v>
      </c>
      <c r="P168" s="58"/>
      <c r="Q168" s="28">
        <f t="shared" si="62"/>
        <v>96.333333333333329</v>
      </c>
      <c r="R168" s="62">
        <f t="shared" si="63"/>
        <v>6</v>
      </c>
      <c r="S168" s="6"/>
    </row>
    <row r="169" spans="1:21" ht="15.75" thickBot="1" x14ac:dyDescent="0.3">
      <c r="A169" s="84">
        <v>21</v>
      </c>
      <c r="B169" s="162" t="s">
        <v>160</v>
      </c>
      <c r="C169" s="75"/>
      <c r="D169" s="13"/>
      <c r="E169" s="13">
        <f>128+104</f>
        <v>232</v>
      </c>
      <c r="F169" s="13">
        <f>109+143</f>
        <v>252</v>
      </c>
      <c r="G169" s="13">
        <f>115+93</f>
        <v>208</v>
      </c>
      <c r="H169" s="44">
        <f>139+86</f>
        <v>225</v>
      </c>
      <c r="I169" s="28">
        <f t="shared" si="61"/>
        <v>114.625</v>
      </c>
      <c r="J169" s="67"/>
      <c r="K169" s="67">
        <f>141+120</f>
        <v>261</v>
      </c>
      <c r="L169" s="67">
        <f>130+117</f>
        <v>247</v>
      </c>
      <c r="M169" s="67">
        <v>257</v>
      </c>
      <c r="N169" s="67">
        <f>93+136</f>
        <v>229</v>
      </c>
      <c r="O169" s="58">
        <f>107+128</f>
        <v>235</v>
      </c>
      <c r="P169" s="58"/>
      <c r="Q169" s="28">
        <f t="shared" si="62"/>
        <v>122.9</v>
      </c>
      <c r="R169" s="62">
        <f t="shared" si="63"/>
        <v>5</v>
      </c>
      <c r="S169" s="6"/>
    </row>
    <row r="170" spans="1:21" hidden="1" x14ac:dyDescent="0.2">
      <c r="A170" s="5"/>
      <c r="B170" s="8"/>
      <c r="C170" s="18"/>
      <c r="D170" s="18"/>
      <c r="E170" s="18"/>
      <c r="F170" s="18"/>
      <c r="G170" s="18"/>
      <c r="H170" s="18"/>
      <c r="I170" s="61"/>
      <c r="J170" s="68"/>
      <c r="K170" s="68"/>
      <c r="L170" s="68"/>
      <c r="M170" s="68"/>
      <c r="N170" s="68"/>
      <c r="O170" s="18"/>
      <c r="P170" s="18"/>
      <c r="Q170" s="61">
        <f>SUM(J165:P169)/(R170*2)</f>
        <v>111.34090909090909</v>
      </c>
      <c r="R170" s="62">
        <f>SUM(R165:R169)</f>
        <v>22</v>
      </c>
      <c r="S170" s="6"/>
    </row>
    <row r="171" spans="1:21" ht="13.5" thickBot="1" x14ac:dyDescent="0.25">
      <c r="A171" s="5"/>
      <c r="B171" s="8"/>
      <c r="C171" s="18"/>
      <c r="D171" s="6"/>
      <c r="E171" s="6"/>
      <c r="F171" s="6"/>
      <c r="G171" s="6"/>
      <c r="H171" s="6"/>
      <c r="I171" s="4"/>
      <c r="J171" s="69"/>
      <c r="K171" s="69"/>
      <c r="L171" s="69"/>
      <c r="M171" s="69"/>
      <c r="N171" s="69"/>
      <c r="O171" s="6"/>
      <c r="P171" s="6"/>
      <c r="Q171" s="4"/>
      <c r="S171" s="6"/>
    </row>
    <row r="172" spans="1:21" s="6" customFormat="1" ht="13.5" thickBot="1" x14ac:dyDescent="0.25">
      <c r="A172" s="82">
        <v>22</v>
      </c>
      <c r="B172" s="116" t="s">
        <v>78</v>
      </c>
      <c r="C172" s="78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80"/>
      <c r="Q172" s="26"/>
      <c r="R172" s="53"/>
    </row>
    <row r="173" spans="1:21" s="6" customFormat="1" ht="15" x14ac:dyDescent="0.25">
      <c r="A173" s="83">
        <v>22</v>
      </c>
      <c r="B173" s="123" t="s">
        <v>90</v>
      </c>
      <c r="C173" s="77">
        <f>110+136</f>
        <v>246</v>
      </c>
      <c r="D173" s="25">
        <f>116+123</f>
        <v>239</v>
      </c>
      <c r="E173" s="25">
        <f>112+108</f>
        <v>220</v>
      </c>
      <c r="F173" s="25">
        <f>103+146</f>
        <v>249</v>
      </c>
      <c r="G173" s="25">
        <f>108+125</f>
        <v>233</v>
      </c>
      <c r="H173" s="76">
        <f>123+100</f>
        <v>223</v>
      </c>
      <c r="I173" s="28">
        <f>AVERAGE(C173:H173)/2</f>
        <v>117.5</v>
      </c>
      <c r="J173" s="66">
        <f>92+138</f>
        <v>230</v>
      </c>
      <c r="K173" s="66">
        <f>126+89</f>
        <v>215</v>
      </c>
      <c r="L173" s="66">
        <f>98+101</f>
        <v>199</v>
      </c>
      <c r="M173" s="66">
        <f>109+113</f>
        <v>222</v>
      </c>
      <c r="N173" s="66">
        <f>127+127</f>
        <v>254</v>
      </c>
      <c r="O173" s="25">
        <f>103+107</f>
        <v>210</v>
      </c>
      <c r="P173" s="25"/>
      <c r="Q173" s="28">
        <f>AVERAGE(J173:P173)/2</f>
        <v>110.83333333333333</v>
      </c>
      <c r="R173" s="62">
        <f>COUNTIF(J173:P173,"&gt;1")</f>
        <v>6</v>
      </c>
      <c r="S173" s="45"/>
    </row>
    <row r="174" spans="1:21" s="6" customFormat="1" ht="15" x14ac:dyDescent="0.25">
      <c r="A174" s="83">
        <v>22</v>
      </c>
      <c r="B174" s="124" t="s">
        <v>91</v>
      </c>
      <c r="C174" s="24">
        <f>102+72</f>
        <v>174</v>
      </c>
      <c r="D174" s="58">
        <f>147+144</f>
        <v>291</v>
      </c>
      <c r="E174" s="58">
        <f>83+117</f>
        <v>200</v>
      </c>
      <c r="F174" s="58">
        <f>106+64</f>
        <v>170</v>
      </c>
      <c r="G174" s="58">
        <f>69+91</f>
        <v>160</v>
      </c>
      <c r="H174" s="43">
        <f>117+156</f>
        <v>273</v>
      </c>
      <c r="I174" s="28">
        <f t="shared" ref="I174:I177" si="64">AVERAGE(C174:H174)/2</f>
        <v>105.66666666666667</v>
      </c>
      <c r="J174" s="67">
        <v>171</v>
      </c>
      <c r="K174" s="67"/>
      <c r="L174" s="67">
        <f>117+116</f>
        <v>233</v>
      </c>
      <c r="M174" s="67">
        <v>252</v>
      </c>
      <c r="N174" s="67">
        <f>129+119</f>
        <v>248</v>
      </c>
      <c r="O174" s="58"/>
      <c r="P174" s="58"/>
      <c r="Q174" s="28">
        <f t="shared" ref="Q174:Q177" si="65">AVERAGE(J174:P174)/2</f>
        <v>113</v>
      </c>
      <c r="R174" s="62">
        <f t="shared" ref="R174:R177" si="66">COUNTIF(J174:P174,"&gt;1")</f>
        <v>4</v>
      </c>
    </row>
    <row r="175" spans="1:21" s="6" customFormat="1" ht="15" x14ac:dyDescent="0.25">
      <c r="A175" s="83">
        <v>22</v>
      </c>
      <c r="B175" s="161" t="s">
        <v>92</v>
      </c>
      <c r="C175" s="24">
        <f>135+133</f>
        <v>268</v>
      </c>
      <c r="D175" s="58">
        <f>102+107</f>
        <v>209</v>
      </c>
      <c r="E175" s="58">
        <f>94+126</f>
        <v>220</v>
      </c>
      <c r="F175" s="58">
        <f>110+103</f>
        <v>213</v>
      </c>
      <c r="G175" s="58">
        <f>109+147</f>
        <v>256</v>
      </c>
      <c r="H175" s="43">
        <f>125+137</f>
        <v>262</v>
      </c>
      <c r="I175" s="28">
        <f t="shared" si="64"/>
        <v>119</v>
      </c>
      <c r="J175" s="67"/>
      <c r="K175" s="67">
        <f>108+128</f>
        <v>236</v>
      </c>
      <c r="L175" s="67">
        <f>145+135</f>
        <v>280</v>
      </c>
      <c r="M175" s="67"/>
      <c r="N175" s="67"/>
      <c r="O175" s="58">
        <f>116+112</f>
        <v>228</v>
      </c>
      <c r="P175" s="58"/>
      <c r="Q175" s="28">
        <f t="shared" si="65"/>
        <v>124</v>
      </c>
      <c r="R175" s="62">
        <f t="shared" si="66"/>
        <v>3</v>
      </c>
    </row>
    <row r="176" spans="1:21" s="6" customFormat="1" ht="15" x14ac:dyDescent="0.25">
      <c r="A176" s="83">
        <v>22</v>
      </c>
      <c r="B176" s="124" t="s">
        <v>92</v>
      </c>
      <c r="C176" s="24">
        <f>124+104</f>
        <v>228</v>
      </c>
      <c r="D176" s="58">
        <f>120+147</f>
        <v>267</v>
      </c>
      <c r="E176" s="58">
        <f>119+128</f>
        <v>247</v>
      </c>
      <c r="F176" s="58">
        <f>133+132</f>
        <v>265</v>
      </c>
      <c r="G176" s="58">
        <f>115+112</f>
        <v>227</v>
      </c>
      <c r="H176" s="43">
        <f>134+130</f>
        <v>264</v>
      </c>
      <c r="I176" s="28">
        <f t="shared" si="64"/>
        <v>124.83333333333333</v>
      </c>
      <c r="J176" s="67">
        <f>196+138</f>
        <v>334</v>
      </c>
      <c r="K176" s="67">
        <f>106+149</f>
        <v>255</v>
      </c>
      <c r="L176" s="67">
        <f>98+138</f>
        <v>236</v>
      </c>
      <c r="M176" s="67">
        <f>148+116</f>
        <v>264</v>
      </c>
      <c r="N176" s="67">
        <f>113+90</f>
        <v>203</v>
      </c>
      <c r="O176" s="58">
        <f>116+112</f>
        <v>228</v>
      </c>
      <c r="P176" s="58"/>
      <c r="Q176" s="28">
        <f t="shared" si="65"/>
        <v>126.66666666666667</v>
      </c>
      <c r="R176" s="62">
        <f t="shared" si="66"/>
        <v>6</v>
      </c>
      <c r="S176" s="47"/>
    </row>
    <row r="177" spans="1:18" s="6" customFormat="1" ht="15.75" thickBot="1" x14ac:dyDescent="0.3">
      <c r="A177" s="84">
        <v>22</v>
      </c>
      <c r="B177" s="157" t="s">
        <v>155</v>
      </c>
      <c r="C177" s="75">
        <v>0</v>
      </c>
      <c r="D177" s="13"/>
      <c r="E177" s="13"/>
      <c r="F177" s="13"/>
      <c r="G177" s="13"/>
      <c r="H177" s="44"/>
      <c r="I177" s="28">
        <f t="shared" si="64"/>
        <v>0</v>
      </c>
      <c r="J177" s="67">
        <f>93+140</f>
        <v>233</v>
      </c>
      <c r="K177" s="67">
        <f>163+146</f>
        <v>309</v>
      </c>
      <c r="L177" s="67"/>
      <c r="M177" s="67">
        <f>155+141</f>
        <v>296</v>
      </c>
      <c r="N177" s="67">
        <f>151+150</f>
        <v>301</v>
      </c>
      <c r="O177" s="58">
        <f>141+118</f>
        <v>259</v>
      </c>
      <c r="P177" s="58"/>
      <c r="Q177" s="28">
        <f t="shared" si="65"/>
        <v>139.80000000000001</v>
      </c>
      <c r="R177" s="62">
        <f t="shared" si="66"/>
        <v>5</v>
      </c>
    </row>
    <row r="178" spans="1:18" s="6" customFormat="1" hidden="1" x14ac:dyDescent="0.2">
      <c r="A178" s="5"/>
      <c r="B178" s="8"/>
      <c r="C178" s="18"/>
      <c r="D178" s="18"/>
      <c r="E178" s="18"/>
      <c r="F178" s="18"/>
      <c r="G178" s="18"/>
      <c r="H178" s="18"/>
      <c r="I178" s="61"/>
      <c r="J178" s="68"/>
      <c r="K178" s="68"/>
      <c r="L178" s="68"/>
      <c r="M178" s="68"/>
      <c r="N178" s="68"/>
      <c r="O178" s="18"/>
      <c r="P178" s="18"/>
      <c r="Q178" s="61">
        <f>SUM(J173:P177)/(R178*2)</f>
        <v>122.83333333333333</v>
      </c>
      <c r="R178" s="62">
        <f>SUM(R173:R177)</f>
        <v>24</v>
      </c>
    </row>
    <row r="179" spans="1:18" s="6" customFormat="1" ht="13.5" thickBot="1" x14ac:dyDescent="0.25">
      <c r="A179" s="5"/>
      <c r="B179" s="8"/>
      <c r="C179" s="18"/>
      <c r="I179" s="4"/>
      <c r="J179" s="69"/>
      <c r="K179" s="69"/>
      <c r="L179" s="69"/>
      <c r="M179" s="69"/>
      <c r="N179" s="69"/>
      <c r="Q179" s="4"/>
      <c r="R179" s="53"/>
    </row>
    <row r="180" spans="1:18" s="6" customFormat="1" ht="13.5" thickBot="1" x14ac:dyDescent="0.25">
      <c r="A180" s="82">
        <v>23</v>
      </c>
      <c r="B180" s="116" t="s">
        <v>79</v>
      </c>
      <c r="C180" s="78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80"/>
      <c r="Q180" s="26"/>
      <c r="R180" s="53"/>
    </row>
    <row r="181" spans="1:18" s="6" customFormat="1" ht="15" x14ac:dyDescent="0.25">
      <c r="A181" s="83">
        <v>23</v>
      </c>
      <c r="B181" s="163" t="s">
        <v>161</v>
      </c>
      <c r="C181" s="77">
        <f>145+88</f>
        <v>233</v>
      </c>
      <c r="D181" s="25">
        <f>86+104</f>
        <v>190</v>
      </c>
      <c r="E181" s="25">
        <f>90+125</f>
        <v>215</v>
      </c>
      <c r="F181" s="25"/>
      <c r="G181" s="25">
        <f>73+87</f>
        <v>160</v>
      </c>
      <c r="H181" s="76">
        <f>107+100</f>
        <v>207</v>
      </c>
      <c r="I181" s="28">
        <f>AVERAGE(C181:H181)/2</f>
        <v>100.5</v>
      </c>
      <c r="J181" s="66">
        <f>139+171</f>
        <v>310</v>
      </c>
      <c r="K181" s="66">
        <f>90+126</f>
        <v>216</v>
      </c>
      <c r="L181" s="66">
        <f>122+130</f>
        <v>252</v>
      </c>
      <c r="M181" s="66">
        <f>116+176</f>
        <v>292</v>
      </c>
      <c r="N181" s="66">
        <f>113+107</f>
        <v>220</v>
      </c>
      <c r="O181" s="25">
        <f>147+99</f>
        <v>246</v>
      </c>
      <c r="P181" s="25"/>
      <c r="Q181" s="28">
        <f>AVERAGE(J181:P181)/2</f>
        <v>128</v>
      </c>
      <c r="R181" s="62">
        <f>COUNTIF(J181:P181,"&gt;1")</f>
        <v>6</v>
      </c>
    </row>
    <row r="182" spans="1:18" s="6" customFormat="1" ht="15" x14ac:dyDescent="0.25">
      <c r="A182" s="83">
        <v>23</v>
      </c>
      <c r="B182" s="161" t="s">
        <v>162</v>
      </c>
      <c r="C182" s="24">
        <f>147+140</f>
        <v>287</v>
      </c>
      <c r="D182" s="58">
        <f>102+111</f>
        <v>213</v>
      </c>
      <c r="E182" s="58"/>
      <c r="F182" s="58">
        <f>101+120</f>
        <v>221</v>
      </c>
      <c r="G182" s="58">
        <f>134+154</f>
        <v>288</v>
      </c>
      <c r="H182" s="43">
        <f>81+118</f>
        <v>199</v>
      </c>
      <c r="I182" s="28">
        <f t="shared" ref="I182:I185" si="67">AVERAGE(C182:H182)/2</f>
        <v>120.8</v>
      </c>
      <c r="J182" s="67"/>
      <c r="K182" s="67">
        <f>129+110</f>
        <v>239</v>
      </c>
      <c r="L182" s="67"/>
      <c r="M182" s="67">
        <f>101+113</f>
        <v>214</v>
      </c>
      <c r="N182" s="67"/>
      <c r="O182" s="58">
        <f>112+136</f>
        <v>248</v>
      </c>
      <c r="P182" s="58"/>
      <c r="Q182" s="28">
        <f t="shared" ref="Q182:Q185" si="68">AVERAGE(J182:P182)/2</f>
        <v>116.83333333333333</v>
      </c>
      <c r="R182" s="62">
        <f t="shared" ref="R182:R185" si="69">COUNTIF(J182:P182,"&gt;1")</f>
        <v>3</v>
      </c>
    </row>
    <row r="183" spans="1:18" s="6" customFormat="1" ht="15" x14ac:dyDescent="0.25">
      <c r="A183" s="83">
        <v>23</v>
      </c>
      <c r="B183" s="161" t="s">
        <v>163</v>
      </c>
      <c r="C183" s="24">
        <f>66+92</f>
        <v>158</v>
      </c>
      <c r="D183" s="58">
        <f>92+79</f>
        <v>171</v>
      </c>
      <c r="E183" s="58">
        <f>82+70</f>
        <v>152</v>
      </c>
      <c r="F183" s="58">
        <f>115+98</f>
        <v>213</v>
      </c>
      <c r="G183" s="58">
        <f>78+85</f>
        <v>163</v>
      </c>
      <c r="H183" s="43">
        <f>91+129</f>
        <v>220</v>
      </c>
      <c r="I183" s="28">
        <f t="shared" si="67"/>
        <v>89.75</v>
      </c>
      <c r="J183" s="67">
        <f>120+145</f>
        <v>265</v>
      </c>
      <c r="K183" s="67"/>
      <c r="L183" s="67"/>
      <c r="M183" s="67">
        <f>79+93</f>
        <v>172</v>
      </c>
      <c r="N183" s="67">
        <f>101+117</f>
        <v>218</v>
      </c>
      <c r="O183" s="58">
        <f>91+121</f>
        <v>212</v>
      </c>
      <c r="P183" s="58"/>
      <c r="Q183" s="28">
        <f t="shared" si="68"/>
        <v>108.375</v>
      </c>
      <c r="R183" s="62">
        <f t="shared" si="69"/>
        <v>4</v>
      </c>
    </row>
    <row r="184" spans="1:18" s="6" customFormat="1" ht="15" x14ac:dyDescent="0.25">
      <c r="A184" s="83">
        <v>23</v>
      </c>
      <c r="B184" s="161" t="s">
        <v>164</v>
      </c>
      <c r="C184" s="24">
        <f>98+117</f>
        <v>215</v>
      </c>
      <c r="D184" s="58">
        <f>98+97</f>
        <v>195</v>
      </c>
      <c r="E184" s="58">
        <f>97+108</f>
        <v>205</v>
      </c>
      <c r="F184" s="58">
        <f>95+100</f>
        <v>195</v>
      </c>
      <c r="G184" s="58">
        <f>78+120</f>
        <v>198</v>
      </c>
      <c r="H184" s="43">
        <f>110+98</f>
        <v>208</v>
      </c>
      <c r="I184" s="28">
        <f t="shared" si="67"/>
        <v>101.33333333333333</v>
      </c>
      <c r="J184" s="67">
        <f>103+105</f>
        <v>208</v>
      </c>
      <c r="K184" s="67">
        <f>111+108</f>
        <v>219</v>
      </c>
      <c r="L184" s="67">
        <f>110+93</f>
        <v>203</v>
      </c>
      <c r="M184" s="67">
        <f>115+94</f>
        <v>209</v>
      </c>
      <c r="N184" s="67">
        <f>135+112</f>
        <v>247</v>
      </c>
      <c r="O184" s="58">
        <f>87+94</f>
        <v>181</v>
      </c>
      <c r="P184" s="58"/>
      <c r="Q184" s="28">
        <f t="shared" si="68"/>
        <v>105.58333333333333</v>
      </c>
      <c r="R184" s="62">
        <f t="shared" si="69"/>
        <v>6</v>
      </c>
    </row>
    <row r="185" spans="1:18" s="6" customFormat="1" ht="15.75" thickBot="1" x14ac:dyDescent="0.3">
      <c r="A185" s="84">
        <v>23</v>
      </c>
      <c r="B185" s="99" t="s">
        <v>16</v>
      </c>
      <c r="C185" s="75"/>
      <c r="D185" s="13"/>
      <c r="E185" s="13"/>
      <c r="F185" s="13">
        <f>88+89</f>
        <v>177</v>
      </c>
      <c r="G185" s="13"/>
      <c r="H185" s="44"/>
      <c r="I185" s="28">
        <f t="shared" si="67"/>
        <v>88.5</v>
      </c>
      <c r="J185" s="67"/>
      <c r="K185" s="67"/>
      <c r="L185" s="67"/>
      <c r="M185" s="67"/>
      <c r="N185" s="67">
        <f>135+109</f>
        <v>244</v>
      </c>
      <c r="O185" s="58"/>
      <c r="P185" s="58"/>
      <c r="Q185" s="28">
        <f t="shared" si="68"/>
        <v>122</v>
      </c>
      <c r="R185" s="62">
        <f t="shared" si="69"/>
        <v>1</v>
      </c>
    </row>
    <row r="186" spans="1:18" s="6" customFormat="1" hidden="1" x14ac:dyDescent="0.2">
      <c r="A186" s="5"/>
      <c r="B186" s="8"/>
      <c r="C186" s="18"/>
      <c r="D186" s="18"/>
      <c r="E186" s="18"/>
      <c r="F186" s="18"/>
      <c r="G186" s="18"/>
      <c r="H186" s="18"/>
      <c r="I186" s="61"/>
      <c r="J186" s="68"/>
      <c r="K186" s="68"/>
      <c r="L186" s="68"/>
      <c r="M186" s="68"/>
      <c r="N186" s="68"/>
      <c r="O186" s="18"/>
      <c r="P186" s="18"/>
      <c r="Q186" s="61">
        <f>SUM(J181:P185)/(R186*2)</f>
        <v>115.375</v>
      </c>
      <c r="R186" s="62">
        <f>SUM(R181:R185)</f>
        <v>20</v>
      </c>
    </row>
    <row r="187" spans="1:18" s="6" customFormat="1" ht="13.5" thickBot="1" x14ac:dyDescent="0.25">
      <c r="A187" s="5"/>
      <c r="B187" s="8"/>
      <c r="C187" s="18"/>
      <c r="I187" s="4"/>
      <c r="J187" s="69"/>
      <c r="K187" s="69"/>
      <c r="L187" s="69"/>
      <c r="M187" s="69"/>
      <c r="N187" s="69"/>
      <c r="Q187" s="4"/>
      <c r="R187" s="53"/>
    </row>
    <row r="188" spans="1:18" s="6" customFormat="1" ht="13.5" thickBot="1" x14ac:dyDescent="0.25">
      <c r="A188" s="82">
        <v>24</v>
      </c>
      <c r="B188" s="116"/>
      <c r="C188" s="78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80"/>
      <c r="Q188" s="26"/>
      <c r="R188" s="62">
        <f>COUNTIF(J188:P188,"&gt;1")</f>
        <v>0</v>
      </c>
    </row>
    <row r="189" spans="1:18" s="6" customFormat="1" ht="15" x14ac:dyDescent="0.25">
      <c r="A189" s="83">
        <v>24</v>
      </c>
      <c r="B189" s="121"/>
      <c r="C189" s="77">
        <v>2</v>
      </c>
      <c r="D189" s="25"/>
      <c r="E189" s="25"/>
      <c r="F189" s="25"/>
      <c r="G189" s="25"/>
      <c r="H189" s="76"/>
      <c r="I189" s="28">
        <f>AVERAGE(C189:H189)/2</f>
        <v>1</v>
      </c>
      <c r="J189" s="66">
        <v>2</v>
      </c>
      <c r="K189" s="66"/>
      <c r="L189" s="66"/>
      <c r="M189" s="66"/>
      <c r="N189" s="66"/>
      <c r="O189" s="25"/>
      <c r="P189" s="25"/>
      <c r="Q189" s="28"/>
      <c r="R189" s="62">
        <f>COUNTIF(J189:P189,"&gt;1")</f>
        <v>1</v>
      </c>
    </row>
    <row r="190" spans="1:18" s="6" customFormat="1" ht="15" x14ac:dyDescent="0.25">
      <c r="A190" s="83">
        <v>24</v>
      </c>
      <c r="B190" s="122"/>
      <c r="C190" s="24">
        <v>2</v>
      </c>
      <c r="D190" s="58"/>
      <c r="E190" s="58"/>
      <c r="F190" s="58"/>
      <c r="G190" s="58"/>
      <c r="H190" s="43"/>
      <c r="I190" s="28">
        <f t="shared" ref="I190:I193" si="70">AVERAGE(C190:H190)/2</f>
        <v>1</v>
      </c>
      <c r="J190" s="67">
        <v>2</v>
      </c>
      <c r="K190" s="67"/>
      <c r="L190" s="67"/>
      <c r="M190" s="67"/>
      <c r="N190" s="67"/>
      <c r="O190" s="58"/>
      <c r="P190" s="58"/>
      <c r="Q190" s="28"/>
      <c r="R190" s="62">
        <f t="shared" ref="R190:R193" si="71">COUNTIF(J190:P190,"&gt;1")</f>
        <v>1</v>
      </c>
    </row>
    <row r="191" spans="1:18" s="6" customFormat="1" ht="15" x14ac:dyDescent="0.25">
      <c r="A191" s="83">
        <v>24</v>
      </c>
      <c r="B191" s="122"/>
      <c r="C191" s="24">
        <v>2</v>
      </c>
      <c r="D191" s="58"/>
      <c r="E191" s="58"/>
      <c r="F191" s="58"/>
      <c r="G191" s="58"/>
      <c r="H191" s="43"/>
      <c r="I191" s="28">
        <f t="shared" si="70"/>
        <v>1</v>
      </c>
      <c r="J191" s="67">
        <v>2</v>
      </c>
      <c r="K191" s="67"/>
      <c r="L191" s="67"/>
      <c r="M191" s="67"/>
      <c r="N191" s="67"/>
      <c r="O191" s="58"/>
      <c r="P191" s="58"/>
      <c r="Q191" s="28"/>
      <c r="R191" s="62">
        <f t="shared" si="71"/>
        <v>1</v>
      </c>
    </row>
    <row r="192" spans="1:18" s="6" customFormat="1" ht="15" x14ac:dyDescent="0.25">
      <c r="A192" s="83">
        <v>24</v>
      </c>
      <c r="B192" s="89"/>
      <c r="C192" s="24">
        <v>2</v>
      </c>
      <c r="D192" s="58"/>
      <c r="E192" s="58"/>
      <c r="F192" s="58"/>
      <c r="G192" s="58"/>
      <c r="H192" s="43"/>
      <c r="I192" s="28">
        <f t="shared" si="70"/>
        <v>1</v>
      </c>
      <c r="J192" s="67">
        <v>2</v>
      </c>
      <c r="K192" s="67"/>
      <c r="L192" s="67"/>
      <c r="M192" s="67"/>
      <c r="N192" s="67"/>
      <c r="O192" s="58"/>
      <c r="P192" s="58"/>
      <c r="Q192" s="28"/>
      <c r="R192" s="62">
        <f t="shared" si="71"/>
        <v>1</v>
      </c>
    </row>
    <row r="193" spans="1:19" s="6" customFormat="1" ht="15.75" thickBot="1" x14ac:dyDescent="0.3">
      <c r="A193" s="84">
        <v>24</v>
      </c>
      <c r="B193" s="90" t="s">
        <v>16</v>
      </c>
      <c r="C193" s="75">
        <v>0</v>
      </c>
      <c r="D193" s="13"/>
      <c r="E193" s="13"/>
      <c r="F193" s="13"/>
      <c r="G193" s="13"/>
      <c r="H193" s="44"/>
      <c r="I193" s="28">
        <f t="shared" si="70"/>
        <v>0</v>
      </c>
      <c r="J193" s="67">
        <v>2</v>
      </c>
      <c r="K193" s="67"/>
      <c r="L193" s="67"/>
      <c r="M193" s="67"/>
      <c r="N193" s="67"/>
      <c r="O193" s="58"/>
      <c r="P193" s="58"/>
      <c r="Q193" s="28"/>
      <c r="R193" s="62">
        <f t="shared" si="71"/>
        <v>1</v>
      </c>
    </row>
    <row r="194" spans="1:19" s="6" customFormat="1" hidden="1" x14ac:dyDescent="0.2">
      <c r="A194" s="5"/>
      <c r="C194" s="18"/>
      <c r="D194" s="18"/>
      <c r="E194" s="18"/>
      <c r="F194" s="18"/>
      <c r="G194" s="18"/>
      <c r="H194" s="18"/>
      <c r="I194" s="61"/>
      <c r="J194" s="68"/>
      <c r="K194" s="68"/>
      <c r="L194" s="68"/>
      <c r="M194" s="68"/>
      <c r="N194" s="68"/>
      <c r="O194" s="18"/>
      <c r="P194" s="18"/>
      <c r="Q194" s="61">
        <f>SUM(J189:P193)/(R194*2)</f>
        <v>1</v>
      </c>
      <c r="R194" s="62">
        <f>SUM(R189:R193)</f>
        <v>5</v>
      </c>
    </row>
    <row r="195" spans="1:19" s="6" customFormat="1" ht="13.5" thickBot="1" x14ac:dyDescent="0.25">
      <c r="A195" s="5"/>
      <c r="C195" s="18"/>
      <c r="I195" s="4"/>
      <c r="J195" s="69"/>
      <c r="K195" s="69"/>
      <c r="L195" s="69"/>
      <c r="M195" s="69"/>
      <c r="N195" s="69"/>
      <c r="Q195" s="4"/>
      <c r="R195" s="53"/>
    </row>
    <row r="196" spans="1:19" s="6" customFormat="1" ht="13.5" thickBot="1" x14ac:dyDescent="0.25">
      <c r="A196" s="82">
        <v>25</v>
      </c>
      <c r="B196" s="116" t="s">
        <v>80</v>
      </c>
      <c r="C196" s="78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80"/>
      <c r="Q196" s="26"/>
      <c r="R196" s="62">
        <f>COUNTIF(J196:P196,"&gt;1")</f>
        <v>0</v>
      </c>
    </row>
    <row r="197" spans="1:19" s="6" customFormat="1" ht="15" x14ac:dyDescent="0.25">
      <c r="A197" s="83">
        <v>25</v>
      </c>
      <c r="B197" s="123" t="s">
        <v>88</v>
      </c>
      <c r="C197" s="77">
        <f>103+133</f>
        <v>236</v>
      </c>
      <c r="D197" s="25">
        <f>144+141</f>
        <v>285</v>
      </c>
      <c r="E197" s="25">
        <f>123+110</f>
        <v>233</v>
      </c>
      <c r="F197" s="25">
        <f>153+156</f>
        <v>309</v>
      </c>
      <c r="G197" s="25">
        <f>106+199</f>
        <v>305</v>
      </c>
      <c r="H197" s="76">
        <f>124+147</f>
        <v>271</v>
      </c>
      <c r="I197" s="28">
        <f>AVERAGE(C197:H197)/2</f>
        <v>136.58333333333334</v>
      </c>
      <c r="J197" s="66">
        <f>137+146</f>
        <v>283</v>
      </c>
      <c r="K197" s="66">
        <f>176+174</f>
        <v>350</v>
      </c>
      <c r="L197" s="66">
        <f>183+175</f>
        <v>358</v>
      </c>
      <c r="M197" s="66">
        <f>120+232</f>
        <v>352</v>
      </c>
      <c r="N197" s="66">
        <f>176+178</f>
        <v>354</v>
      </c>
      <c r="O197" s="25">
        <f>155+151</f>
        <v>306</v>
      </c>
      <c r="P197" s="25"/>
      <c r="Q197" s="28">
        <f>AVERAGE(J197:P197)/2</f>
        <v>166.91666666666666</v>
      </c>
      <c r="R197" s="62">
        <f>COUNTIF(J197:P197,"&gt;1")</f>
        <v>6</v>
      </c>
    </row>
    <row r="198" spans="1:19" s="6" customFormat="1" ht="15" x14ac:dyDescent="0.25">
      <c r="A198" s="83">
        <v>25</v>
      </c>
      <c r="B198" s="124" t="s">
        <v>24</v>
      </c>
      <c r="C198" s="24">
        <f>172+167</f>
        <v>339</v>
      </c>
      <c r="D198" s="58">
        <f>139+131</f>
        <v>270</v>
      </c>
      <c r="E198" s="58">
        <f>130+161</f>
        <v>291</v>
      </c>
      <c r="F198" s="58">
        <f>132+125</f>
        <v>257</v>
      </c>
      <c r="G198" s="58">
        <f>143+159</f>
        <v>302</v>
      </c>
      <c r="H198" s="43">
        <f>177+139</f>
        <v>316</v>
      </c>
      <c r="I198" s="28">
        <f t="shared" ref="I198:I201" si="72">AVERAGE(C198:H198)/2</f>
        <v>147.91666666666666</v>
      </c>
      <c r="J198" s="67">
        <f>135+171</f>
        <v>306</v>
      </c>
      <c r="K198" s="67">
        <f>167+204</f>
        <v>371</v>
      </c>
      <c r="L198" s="67">
        <f>144+161</f>
        <v>305</v>
      </c>
      <c r="M198" s="67">
        <f>161+189</f>
        <v>350</v>
      </c>
      <c r="N198" s="67">
        <f>151+194</f>
        <v>345</v>
      </c>
      <c r="O198" s="58">
        <f>154+133</f>
        <v>287</v>
      </c>
      <c r="P198" s="58"/>
      <c r="Q198" s="28">
        <f t="shared" ref="Q198:Q201" si="73">AVERAGE(J198:P198)/2</f>
        <v>163.66666666666666</v>
      </c>
      <c r="R198" s="62">
        <f t="shared" ref="R198:R201" si="74">COUNTIF(J198:P198,"&gt;1")</f>
        <v>6</v>
      </c>
    </row>
    <row r="199" spans="1:19" s="6" customFormat="1" ht="15" x14ac:dyDescent="0.25">
      <c r="A199" s="83">
        <v>25</v>
      </c>
      <c r="B199" s="124" t="s">
        <v>22</v>
      </c>
      <c r="C199" s="24">
        <f>146+167</f>
        <v>313</v>
      </c>
      <c r="D199" s="58">
        <f>144+125</f>
        <v>269</v>
      </c>
      <c r="E199" s="58">
        <f>212+154</f>
        <v>366</v>
      </c>
      <c r="F199" s="58">
        <f>165+150</f>
        <v>315</v>
      </c>
      <c r="G199" s="58">
        <f>149+139</f>
        <v>288</v>
      </c>
      <c r="H199" s="43">
        <f>126+143</f>
        <v>269</v>
      </c>
      <c r="I199" s="28">
        <f t="shared" si="72"/>
        <v>151.66666666666666</v>
      </c>
      <c r="J199" s="67">
        <f>158+167</f>
        <v>325</v>
      </c>
      <c r="K199" s="67">
        <f>163+179</f>
        <v>342</v>
      </c>
      <c r="L199" s="67">
        <f>170+146</f>
        <v>316</v>
      </c>
      <c r="M199" s="67">
        <f>159+115</f>
        <v>274</v>
      </c>
      <c r="N199" s="67">
        <f>174+154</f>
        <v>328</v>
      </c>
      <c r="O199" s="58">
        <f>172+176</f>
        <v>348</v>
      </c>
      <c r="P199" s="58"/>
      <c r="Q199" s="28">
        <f t="shared" si="73"/>
        <v>161.08333333333334</v>
      </c>
      <c r="R199" s="62">
        <f t="shared" si="74"/>
        <v>6</v>
      </c>
    </row>
    <row r="200" spans="1:19" s="6" customFormat="1" ht="15" x14ac:dyDescent="0.25">
      <c r="A200" s="83">
        <v>25</v>
      </c>
      <c r="B200" s="97"/>
      <c r="C200" s="24">
        <v>0</v>
      </c>
      <c r="D200" s="58"/>
      <c r="E200" s="58"/>
      <c r="F200" s="58"/>
      <c r="G200" s="58"/>
      <c r="H200" s="43"/>
      <c r="I200" s="28">
        <f t="shared" si="72"/>
        <v>0</v>
      </c>
      <c r="J200" s="67">
        <v>0</v>
      </c>
      <c r="K200" s="67"/>
      <c r="L200" s="67"/>
      <c r="M200" s="67"/>
      <c r="N200" s="67"/>
      <c r="O200" s="58"/>
      <c r="P200" s="58"/>
      <c r="Q200" s="28">
        <f t="shared" si="73"/>
        <v>0</v>
      </c>
      <c r="R200" s="62">
        <f t="shared" si="74"/>
        <v>0</v>
      </c>
    </row>
    <row r="201" spans="1:19" s="6" customFormat="1" ht="15.75" thickBot="1" x14ac:dyDescent="0.3">
      <c r="A201" s="84">
        <v>25</v>
      </c>
      <c r="B201" s="90" t="s">
        <v>16</v>
      </c>
      <c r="C201" s="75">
        <v>0</v>
      </c>
      <c r="D201" s="13"/>
      <c r="E201" s="13"/>
      <c r="F201" s="13"/>
      <c r="G201" s="13"/>
      <c r="H201" s="44"/>
      <c r="I201" s="28">
        <f t="shared" si="72"/>
        <v>0</v>
      </c>
      <c r="J201" s="67">
        <v>0</v>
      </c>
      <c r="K201" s="67"/>
      <c r="L201" s="67"/>
      <c r="M201" s="67"/>
      <c r="N201" s="67"/>
      <c r="O201" s="58"/>
      <c r="P201" s="58"/>
      <c r="Q201" s="28">
        <f t="shared" si="73"/>
        <v>0</v>
      </c>
      <c r="R201" s="62">
        <f t="shared" si="74"/>
        <v>0</v>
      </c>
    </row>
    <row r="202" spans="1:19" s="6" customFormat="1" hidden="1" x14ac:dyDescent="0.2">
      <c r="A202" s="5"/>
      <c r="B202" s="8"/>
      <c r="C202" s="18"/>
      <c r="D202" s="18"/>
      <c r="E202" s="18"/>
      <c r="F202" s="18"/>
      <c r="G202" s="18"/>
      <c r="H202" s="18"/>
      <c r="I202" s="61"/>
      <c r="J202" s="68"/>
      <c r="K202" s="68"/>
      <c r="L202" s="68"/>
      <c r="M202" s="68"/>
      <c r="N202" s="68"/>
      <c r="O202" s="18"/>
      <c r="P202" s="18"/>
      <c r="Q202" s="61">
        <f>SUM(J197:P201)/(R202*2)</f>
        <v>163.88888888888889</v>
      </c>
      <c r="R202" s="62">
        <f>SUM(R197:R201)</f>
        <v>18</v>
      </c>
      <c r="S202" s="8"/>
    </row>
    <row r="203" spans="1:19" s="6" customFormat="1" ht="13.5" thickBot="1" x14ac:dyDescent="0.25">
      <c r="A203" s="5"/>
      <c r="B203" s="8"/>
      <c r="C203" s="18"/>
      <c r="I203" s="4"/>
      <c r="J203" s="69"/>
      <c r="K203" s="69"/>
      <c r="L203" s="69"/>
      <c r="M203" s="69"/>
      <c r="N203" s="69"/>
      <c r="Q203" s="4"/>
      <c r="R203" s="53"/>
    </row>
    <row r="204" spans="1:19" s="6" customFormat="1" ht="13.5" thickBot="1" x14ac:dyDescent="0.25">
      <c r="A204" s="82">
        <v>26</v>
      </c>
      <c r="B204" s="116" t="s">
        <v>126</v>
      </c>
      <c r="C204" s="78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80"/>
      <c r="Q204" s="26"/>
      <c r="R204" s="62">
        <f>COUNTIF(J204:P204,"&gt;1")</f>
        <v>0</v>
      </c>
    </row>
    <row r="205" spans="1:19" s="6" customFormat="1" ht="15" x14ac:dyDescent="0.25">
      <c r="A205" s="83">
        <v>26</v>
      </c>
      <c r="B205" s="123" t="s">
        <v>106</v>
      </c>
      <c r="C205" s="77">
        <f>100+117</f>
        <v>217</v>
      </c>
      <c r="D205" s="133">
        <f>99+87</f>
        <v>186</v>
      </c>
      <c r="E205" s="25">
        <f>115+85</f>
        <v>200</v>
      </c>
      <c r="F205" s="25">
        <f>58+83</f>
        <v>141</v>
      </c>
      <c r="G205" s="25">
        <f>109+93</f>
        <v>202</v>
      </c>
      <c r="H205" s="76">
        <f>97+56</f>
        <v>153</v>
      </c>
      <c r="I205" s="28">
        <f>AVERAGE(C205:H205)/2</f>
        <v>91.583333333333329</v>
      </c>
      <c r="J205" s="66">
        <f>110+95</f>
        <v>205</v>
      </c>
      <c r="K205" s="66">
        <f>93+80</f>
        <v>173</v>
      </c>
      <c r="L205" s="66">
        <f>78+75</f>
        <v>153</v>
      </c>
      <c r="M205" s="66">
        <f>87+94</f>
        <v>181</v>
      </c>
      <c r="N205" s="66">
        <f>97+93</f>
        <v>190</v>
      </c>
      <c r="O205" s="25">
        <f>71+112</f>
        <v>183</v>
      </c>
      <c r="P205" s="25"/>
      <c r="Q205" s="28">
        <f>AVERAGE(J205:P205)/2</f>
        <v>90.416666666666671</v>
      </c>
      <c r="R205" s="62">
        <f>COUNTIF(J205:P205,"&gt;1")</f>
        <v>6</v>
      </c>
    </row>
    <row r="206" spans="1:19" s="6" customFormat="1" ht="15" x14ac:dyDescent="0.25">
      <c r="A206" s="83">
        <v>26</v>
      </c>
      <c r="B206" s="124" t="s">
        <v>107</v>
      </c>
      <c r="C206" s="24">
        <f>74+93</f>
        <v>167</v>
      </c>
      <c r="D206" s="58">
        <f>73+77</f>
        <v>150</v>
      </c>
      <c r="E206" s="58">
        <f>134+96</f>
        <v>230</v>
      </c>
      <c r="F206" s="58">
        <f>133+104</f>
        <v>237</v>
      </c>
      <c r="G206" s="58">
        <f>68+75</f>
        <v>143</v>
      </c>
      <c r="H206" s="43">
        <f>90+147</f>
        <v>237</v>
      </c>
      <c r="I206" s="28">
        <f t="shared" ref="I206:I209" si="75">AVERAGE(C206:H206)/2</f>
        <v>97</v>
      </c>
      <c r="J206" s="67">
        <f>68+97</f>
        <v>165</v>
      </c>
      <c r="K206" s="67">
        <f>61+79</f>
        <v>140</v>
      </c>
      <c r="L206" s="67">
        <f>97+100</f>
        <v>197</v>
      </c>
      <c r="M206" s="67">
        <f>121+133</f>
        <v>254</v>
      </c>
      <c r="N206" s="67">
        <f>115+132</f>
        <v>247</v>
      </c>
      <c r="O206" s="58"/>
      <c r="P206" s="58"/>
      <c r="Q206" s="28">
        <f t="shared" ref="Q206:Q209" si="76">AVERAGE(J206:P206)/2</f>
        <v>100.3</v>
      </c>
      <c r="R206" s="62">
        <f t="shared" ref="R206:R209" si="77">COUNTIF(J206:P206,"&gt;1")</f>
        <v>5</v>
      </c>
    </row>
    <row r="207" spans="1:19" s="6" customFormat="1" ht="15" x14ac:dyDescent="0.25">
      <c r="A207" s="83">
        <v>26</v>
      </c>
      <c r="B207" s="124" t="s">
        <v>108</v>
      </c>
      <c r="C207" s="24">
        <f>133+95</f>
        <v>228</v>
      </c>
      <c r="D207" s="58">
        <f>97+126</f>
        <v>223</v>
      </c>
      <c r="E207" s="58">
        <f>106+112</f>
        <v>218</v>
      </c>
      <c r="F207" s="58">
        <f>130+138</f>
        <v>268</v>
      </c>
      <c r="G207" s="58">
        <f>128+141</f>
        <v>269</v>
      </c>
      <c r="H207" s="43">
        <f>100+114</f>
        <v>214</v>
      </c>
      <c r="I207" s="28">
        <f t="shared" si="75"/>
        <v>118.33333333333333</v>
      </c>
      <c r="J207" s="67">
        <f>110+118</f>
        <v>228</v>
      </c>
      <c r="K207" s="67">
        <f>112+125</f>
        <v>237</v>
      </c>
      <c r="L207" s="67">
        <f>101+119</f>
        <v>220</v>
      </c>
      <c r="M207" s="67">
        <f>132+152</f>
        <v>284</v>
      </c>
      <c r="N207" s="67">
        <f>88+107</f>
        <v>195</v>
      </c>
      <c r="O207" s="58">
        <f>138+110</f>
        <v>248</v>
      </c>
      <c r="P207" s="58"/>
      <c r="Q207" s="28">
        <f t="shared" si="76"/>
        <v>117.66666666666667</v>
      </c>
      <c r="R207" s="62">
        <f t="shared" si="77"/>
        <v>6</v>
      </c>
    </row>
    <row r="208" spans="1:19" s="6" customFormat="1" ht="15" x14ac:dyDescent="0.25">
      <c r="A208" s="83">
        <v>26</v>
      </c>
      <c r="B208" s="124" t="s">
        <v>109</v>
      </c>
      <c r="C208" s="24">
        <f>126+107</f>
        <v>233</v>
      </c>
      <c r="D208" s="58">
        <f>67+95</f>
        <v>162</v>
      </c>
      <c r="E208" s="58">
        <f>98+77</f>
        <v>175</v>
      </c>
      <c r="F208" s="58">
        <f>108+121</f>
        <v>229</v>
      </c>
      <c r="G208" s="58">
        <f>118+104</f>
        <v>222</v>
      </c>
      <c r="H208" s="43">
        <f>84+73</f>
        <v>157</v>
      </c>
      <c r="I208" s="28">
        <f t="shared" si="75"/>
        <v>98.166666666666671</v>
      </c>
      <c r="J208" s="67">
        <f>41+35</f>
        <v>76</v>
      </c>
      <c r="K208" s="67">
        <f>56+91</f>
        <v>147</v>
      </c>
      <c r="L208" s="67">
        <f>90+116</f>
        <v>206</v>
      </c>
      <c r="M208" s="67">
        <f>73+73</f>
        <v>146</v>
      </c>
      <c r="N208" s="67"/>
      <c r="O208" s="58">
        <f>79+78</f>
        <v>157</v>
      </c>
      <c r="P208" s="58"/>
      <c r="Q208" s="28">
        <f t="shared" si="76"/>
        <v>73.2</v>
      </c>
      <c r="R208" s="62">
        <f t="shared" si="77"/>
        <v>5</v>
      </c>
    </row>
    <row r="209" spans="1:22" s="6" customFormat="1" ht="15.75" thickBot="1" x14ac:dyDescent="0.3">
      <c r="A209" s="84">
        <v>26</v>
      </c>
      <c r="B209" s="90" t="s">
        <v>16</v>
      </c>
      <c r="C209" s="75">
        <v>0</v>
      </c>
      <c r="D209" s="13"/>
      <c r="E209" s="13"/>
      <c r="F209" s="13"/>
      <c r="G209" s="13"/>
      <c r="H209" s="44"/>
      <c r="I209" s="28">
        <f t="shared" si="75"/>
        <v>0</v>
      </c>
      <c r="J209" s="67"/>
      <c r="K209" s="67"/>
      <c r="L209" s="67"/>
      <c r="M209" s="67"/>
      <c r="N209" s="67">
        <f>101+99</f>
        <v>200</v>
      </c>
      <c r="O209" s="58">
        <f>76+70</f>
        <v>146</v>
      </c>
      <c r="P209" s="58"/>
      <c r="Q209" s="28">
        <f t="shared" si="76"/>
        <v>86.5</v>
      </c>
      <c r="R209" s="62">
        <f t="shared" si="77"/>
        <v>2</v>
      </c>
    </row>
    <row r="210" spans="1:22" s="6" customFormat="1" hidden="1" x14ac:dyDescent="0.2">
      <c r="A210" s="5"/>
      <c r="C210" s="18"/>
      <c r="D210" s="18"/>
      <c r="E210" s="18"/>
      <c r="F210" s="18"/>
      <c r="G210" s="18"/>
      <c r="H210" s="18"/>
      <c r="I210" s="61"/>
      <c r="J210" s="68"/>
      <c r="K210" s="68"/>
      <c r="L210" s="68"/>
      <c r="M210" s="68"/>
      <c r="N210" s="68"/>
      <c r="O210" s="18"/>
      <c r="P210" s="18"/>
      <c r="Q210" s="61">
        <f>SUM(J205:P209)/(R210*2)</f>
        <v>95.375</v>
      </c>
      <c r="R210" s="62">
        <f>SUM(R205:R209)</f>
        <v>24</v>
      </c>
    </row>
    <row r="211" spans="1:22" s="6" customFormat="1" ht="13.5" thickBot="1" x14ac:dyDescent="0.25">
      <c r="A211" s="5"/>
      <c r="C211" s="18"/>
      <c r="I211" s="4"/>
      <c r="J211" s="69"/>
      <c r="K211" s="69"/>
      <c r="L211" s="69"/>
      <c r="M211" s="69"/>
      <c r="N211" s="69"/>
      <c r="O211" s="6" t="s">
        <v>165</v>
      </c>
      <c r="Q211" s="4"/>
      <c r="R211" s="53"/>
    </row>
    <row r="212" spans="1:22" s="6" customFormat="1" ht="13.5" thickBot="1" x14ac:dyDescent="0.25">
      <c r="A212" s="82">
        <v>27</v>
      </c>
      <c r="B212" s="116" t="s">
        <v>97</v>
      </c>
      <c r="C212" s="78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80"/>
      <c r="Q212" s="26"/>
      <c r="R212" s="53"/>
    </row>
    <row r="213" spans="1:22" s="6" customFormat="1" ht="15" x14ac:dyDescent="0.25">
      <c r="A213" s="83">
        <v>27</v>
      </c>
      <c r="B213" s="123" t="s">
        <v>41</v>
      </c>
      <c r="C213" s="77">
        <f>66+88</f>
        <v>154</v>
      </c>
      <c r="D213" s="25">
        <f>115+86</f>
        <v>201</v>
      </c>
      <c r="E213" s="25">
        <f>80+109</f>
        <v>189</v>
      </c>
      <c r="F213" s="25">
        <f>93+69</f>
        <v>162</v>
      </c>
      <c r="G213" s="25">
        <f>113+86</f>
        <v>199</v>
      </c>
      <c r="H213" s="76">
        <f>111+71</f>
        <v>182</v>
      </c>
      <c r="I213" s="28">
        <f>AVERAGE(C213:H213)/2</f>
        <v>90.583333333333329</v>
      </c>
      <c r="J213" s="66">
        <v>2</v>
      </c>
      <c r="K213" s="66"/>
      <c r="L213" s="66"/>
      <c r="M213" s="66"/>
      <c r="N213" s="66"/>
      <c r="O213" s="25"/>
      <c r="P213" s="25"/>
      <c r="Q213" s="28">
        <f>AVERAGE(J213:P213)/2</f>
        <v>1</v>
      </c>
      <c r="R213" s="62">
        <f>COUNTIF(J213:P213,"&gt;1")</f>
        <v>1</v>
      </c>
      <c r="V213" s="101"/>
    </row>
    <row r="214" spans="1:22" s="6" customFormat="1" ht="15" x14ac:dyDescent="0.25">
      <c r="A214" s="83">
        <v>27</v>
      </c>
      <c r="B214" s="124" t="s">
        <v>66</v>
      </c>
      <c r="C214" s="24">
        <f>102+95</f>
        <v>197</v>
      </c>
      <c r="D214" s="58">
        <f>120+125</f>
        <v>245</v>
      </c>
      <c r="E214" s="58">
        <f>105+68</f>
        <v>173</v>
      </c>
      <c r="F214" s="58">
        <f>116+113</f>
        <v>229</v>
      </c>
      <c r="G214" s="58">
        <f>113+130</f>
        <v>243</v>
      </c>
      <c r="H214" s="43"/>
      <c r="I214" s="28">
        <f t="shared" ref="I214:I217" si="78">AVERAGE(C214:H214)/2</f>
        <v>108.7</v>
      </c>
      <c r="J214" s="67">
        <v>2</v>
      </c>
      <c r="K214" s="67"/>
      <c r="L214" s="67"/>
      <c r="M214" s="67"/>
      <c r="N214" s="67"/>
      <c r="O214" s="58"/>
      <c r="P214" s="58"/>
      <c r="Q214" s="28">
        <f t="shared" ref="Q214:Q217" si="79">AVERAGE(J214:P214)/2</f>
        <v>1</v>
      </c>
      <c r="R214" s="62">
        <f t="shared" ref="R214:R217" si="80">COUNTIF(J214:P214,"&gt;1")</f>
        <v>1</v>
      </c>
    </row>
    <row r="215" spans="1:22" s="6" customFormat="1" ht="15" x14ac:dyDescent="0.25">
      <c r="A215" s="83">
        <v>27</v>
      </c>
      <c r="B215" s="124" t="s">
        <v>96</v>
      </c>
      <c r="C215" s="24">
        <f>32+83</f>
        <v>115</v>
      </c>
      <c r="D215" s="58"/>
      <c r="E215" s="58">
        <f>123+102</f>
        <v>225</v>
      </c>
      <c r="F215" s="58"/>
      <c r="G215" s="58">
        <f>109+89</f>
        <v>198</v>
      </c>
      <c r="H215" s="43"/>
      <c r="I215" s="28">
        <f t="shared" si="78"/>
        <v>89.666666666666671</v>
      </c>
      <c r="J215" s="67">
        <v>2</v>
      </c>
      <c r="K215" s="67"/>
      <c r="L215" s="67"/>
      <c r="M215" s="67"/>
      <c r="N215" s="67"/>
      <c r="O215" s="58"/>
      <c r="P215" s="58"/>
      <c r="Q215" s="28">
        <f t="shared" si="79"/>
        <v>1</v>
      </c>
      <c r="R215" s="62">
        <f t="shared" si="80"/>
        <v>1</v>
      </c>
    </row>
    <row r="216" spans="1:22" s="6" customFormat="1" ht="15" x14ac:dyDescent="0.25">
      <c r="A216" s="83">
        <v>27</v>
      </c>
      <c r="B216" s="131" t="s">
        <v>122</v>
      </c>
      <c r="C216" s="24"/>
      <c r="D216" s="58">
        <f>68+85</f>
        <v>153</v>
      </c>
      <c r="E216" s="58"/>
      <c r="F216" s="58"/>
      <c r="G216" s="58"/>
      <c r="H216" s="43">
        <f>84+57</f>
        <v>141</v>
      </c>
      <c r="I216" s="28">
        <f t="shared" si="78"/>
        <v>73.5</v>
      </c>
      <c r="J216" s="67">
        <v>2</v>
      </c>
      <c r="K216" s="67"/>
      <c r="L216" s="67"/>
      <c r="M216" s="67"/>
      <c r="N216" s="67"/>
      <c r="O216" s="58"/>
      <c r="P216" s="58"/>
      <c r="Q216" s="28">
        <f t="shared" si="79"/>
        <v>1</v>
      </c>
      <c r="R216" s="62">
        <f t="shared" si="80"/>
        <v>1</v>
      </c>
    </row>
    <row r="217" spans="1:22" s="6" customFormat="1" ht="15.75" thickBot="1" x14ac:dyDescent="0.3">
      <c r="A217" s="84">
        <v>27</v>
      </c>
      <c r="B217" s="90" t="s">
        <v>16</v>
      </c>
      <c r="C217" s="75"/>
      <c r="D217" s="13"/>
      <c r="E217" s="13"/>
      <c r="F217" s="13">
        <f>38+93</f>
        <v>131</v>
      </c>
      <c r="G217" s="13"/>
      <c r="H217" s="44">
        <f>100+63</f>
        <v>163</v>
      </c>
      <c r="I217" s="28">
        <f t="shared" si="78"/>
        <v>73.5</v>
      </c>
      <c r="J217" s="67">
        <v>0</v>
      </c>
      <c r="K217" s="67"/>
      <c r="L217" s="67"/>
      <c r="M217" s="67"/>
      <c r="N217" s="67"/>
      <c r="O217" s="58"/>
      <c r="P217" s="58"/>
      <c r="Q217" s="28">
        <f t="shared" si="79"/>
        <v>0</v>
      </c>
      <c r="R217" s="62">
        <f t="shared" si="80"/>
        <v>0</v>
      </c>
    </row>
    <row r="218" spans="1:22" s="6" customFormat="1" hidden="1" x14ac:dyDescent="0.2">
      <c r="A218" s="5"/>
      <c r="C218" s="18"/>
      <c r="D218" s="18"/>
      <c r="E218" s="18"/>
      <c r="F218" s="18"/>
      <c r="G218" s="18"/>
      <c r="H218" s="18"/>
      <c r="I218" s="61"/>
      <c r="J218" s="68"/>
      <c r="K218" s="68"/>
      <c r="L218" s="68"/>
      <c r="M218" s="68"/>
      <c r="N218" s="68"/>
      <c r="O218" s="18"/>
      <c r="P218" s="18"/>
      <c r="Q218" s="61">
        <f>SUM(J213:P217)/(R218*2)</f>
        <v>1</v>
      </c>
      <c r="R218" s="62">
        <f>SUM(R213:R217)</f>
        <v>4</v>
      </c>
    </row>
    <row r="219" spans="1:22" s="6" customFormat="1" ht="13.5" thickBot="1" x14ac:dyDescent="0.25">
      <c r="A219" s="5"/>
      <c r="C219" s="18"/>
      <c r="I219" s="4"/>
      <c r="J219" s="69"/>
      <c r="K219" s="69"/>
      <c r="L219" s="69"/>
      <c r="M219" s="69"/>
      <c r="N219" s="69"/>
      <c r="Q219" s="4"/>
      <c r="R219" s="53"/>
    </row>
    <row r="220" spans="1:22" s="6" customFormat="1" ht="13.5" thickBot="1" x14ac:dyDescent="0.25">
      <c r="A220" s="82">
        <v>28</v>
      </c>
      <c r="B220" s="116" t="s">
        <v>98</v>
      </c>
      <c r="C220" s="78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80"/>
      <c r="Q220" s="26"/>
      <c r="R220" s="62">
        <f>COUNTIF(J220:P220,"&gt;1")</f>
        <v>0</v>
      </c>
    </row>
    <row r="221" spans="1:22" s="6" customFormat="1" ht="15" x14ac:dyDescent="0.25">
      <c r="A221" s="83">
        <v>28</v>
      </c>
      <c r="B221" s="123" t="s">
        <v>100</v>
      </c>
      <c r="C221" s="77">
        <f>74+91</f>
        <v>165</v>
      </c>
      <c r="D221" s="25"/>
      <c r="E221" s="25">
        <f>77+78</f>
        <v>155</v>
      </c>
      <c r="F221" s="25">
        <f>98+0+84</f>
        <v>182</v>
      </c>
      <c r="G221" s="25">
        <f>63+94</f>
        <v>157</v>
      </c>
      <c r="H221" s="76">
        <f>69+74</f>
        <v>143</v>
      </c>
      <c r="I221" s="28">
        <f>AVERAGE(C221:H221)/2</f>
        <v>80.2</v>
      </c>
      <c r="J221" s="66">
        <v>2</v>
      </c>
      <c r="K221" s="66"/>
      <c r="L221" s="66"/>
      <c r="M221" s="66"/>
      <c r="N221" s="66"/>
      <c r="O221" s="25"/>
      <c r="P221" s="25"/>
      <c r="Q221" s="28">
        <f>AVERAGE(J221:P221)/2</f>
        <v>1</v>
      </c>
      <c r="R221" s="62">
        <f>COUNTIF(J221:P221,"&gt;1")</f>
        <v>1</v>
      </c>
    </row>
    <row r="222" spans="1:22" s="6" customFormat="1" ht="15" x14ac:dyDescent="0.25">
      <c r="A222" s="83">
        <v>28</v>
      </c>
      <c r="B222" s="131" t="s">
        <v>125</v>
      </c>
      <c r="C222" s="24">
        <f>33+51</f>
        <v>84</v>
      </c>
      <c r="D222" s="58">
        <f>75+77</f>
        <v>152</v>
      </c>
      <c r="E222" s="58">
        <f>63+56</f>
        <v>119</v>
      </c>
      <c r="F222" s="58">
        <f>62+77</f>
        <v>139</v>
      </c>
      <c r="G222" s="58">
        <f>41+63</f>
        <v>104</v>
      </c>
      <c r="H222" s="43">
        <f>65+55</f>
        <v>120</v>
      </c>
      <c r="I222" s="28">
        <f t="shared" ref="I222:I225" si="81">AVERAGE(C222:H222)/2</f>
        <v>59.833333333333336</v>
      </c>
      <c r="J222" s="67">
        <v>2</v>
      </c>
      <c r="K222" s="67"/>
      <c r="L222" s="67"/>
      <c r="M222" s="67"/>
      <c r="N222" s="67"/>
      <c r="O222" s="58"/>
      <c r="P222" s="58"/>
      <c r="Q222" s="28">
        <f t="shared" ref="Q222:Q225" si="82">AVERAGE(J222:P222)/2</f>
        <v>1</v>
      </c>
      <c r="R222" s="62">
        <f t="shared" ref="R222:R225" si="83">COUNTIF(J222:P222,"&gt;1")</f>
        <v>1</v>
      </c>
    </row>
    <row r="223" spans="1:22" s="6" customFormat="1" ht="15" x14ac:dyDescent="0.25">
      <c r="A223" s="83">
        <v>28</v>
      </c>
      <c r="B223" s="124" t="s">
        <v>101</v>
      </c>
      <c r="C223" s="24">
        <f>42+69</f>
        <v>111</v>
      </c>
      <c r="D223" s="58"/>
      <c r="E223" s="58">
        <f>46+54</f>
        <v>100</v>
      </c>
      <c r="F223" s="58">
        <f>98+117</f>
        <v>215</v>
      </c>
      <c r="G223" s="58">
        <f>60+70</f>
        <v>130</v>
      </c>
      <c r="H223" s="43">
        <f>86+74</f>
        <v>160</v>
      </c>
      <c r="I223" s="28">
        <f t="shared" si="81"/>
        <v>71.599999999999994</v>
      </c>
      <c r="J223" s="67">
        <v>2</v>
      </c>
      <c r="K223" s="67"/>
      <c r="L223" s="67"/>
      <c r="M223" s="67"/>
      <c r="N223" s="67"/>
      <c r="O223" s="58"/>
      <c r="P223" s="58"/>
      <c r="Q223" s="28">
        <f t="shared" si="82"/>
        <v>1</v>
      </c>
      <c r="R223" s="62">
        <f t="shared" si="83"/>
        <v>1</v>
      </c>
    </row>
    <row r="224" spans="1:22" s="6" customFormat="1" ht="15" x14ac:dyDescent="0.25">
      <c r="A224" s="83">
        <v>28</v>
      </c>
      <c r="B224" s="131" t="s">
        <v>123</v>
      </c>
      <c r="C224" s="24"/>
      <c r="D224" s="58">
        <f>117+66</f>
        <v>183</v>
      </c>
      <c r="E224" s="58"/>
      <c r="F224" s="58"/>
      <c r="G224" s="58"/>
      <c r="H224" s="43"/>
      <c r="I224" s="28">
        <f t="shared" si="81"/>
        <v>91.5</v>
      </c>
      <c r="J224" s="67">
        <v>2</v>
      </c>
      <c r="K224" s="67"/>
      <c r="L224" s="67"/>
      <c r="M224" s="67"/>
      <c r="N224" s="67"/>
      <c r="O224" s="58"/>
      <c r="P224" s="58"/>
      <c r="Q224" s="28">
        <f t="shared" si="82"/>
        <v>1</v>
      </c>
      <c r="R224" s="62">
        <f t="shared" si="83"/>
        <v>1</v>
      </c>
    </row>
    <row r="225" spans="1:18" s="6" customFormat="1" ht="15.75" thickBot="1" x14ac:dyDescent="0.3">
      <c r="A225" s="84">
        <v>28</v>
      </c>
      <c r="B225" s="132" t="s">
        <v>124</v>
      </c>
      <c r="C225" s="75"/>
      <c r="D225" s="13">
        <f>52+67</f>
        <v>119</v>
      </c>
      <c r="E225" s="13"/>
      <c r="F225" s="13"/>
      <c r="G225" s="13"/>
      <c r="H225" s="44"/>
      <c r="I225" s="28">
        <f t="shared" si="81"/>
        <v>59.5</v>
      </c>
      <c r="J225" s="67">
        <v>0</v>
      </c>
      <c r="K225" s="67"/>
      <c r="L225" s="67"/>
      <c r="M225" s="67"/>
      <c r="N225" s="67"/>
      <c r="O225" s="58"/>
      <c r="P225" s="58"/>
      <c r="Q225" s="28">
        <f t="shared" si="82"/>
        <v>0</v>
      </c>
      <c r="R225" s="62">
        <f t="shared" si="83"/>
        <v>0</v>
      </c>
    </row>
    <row r="226" spans="1:18" s="6" customFormat="1" hidden="1" x14ac:dyDescent="0.2">
      <c r="A226" s="5"/>
      <c r="C226" s="18"/>
      <c r="D226" s="18"/>
      <c r="E226" s="18"/>
      <c r="F226" s="18"/>
      <c r="G226" s="18"/>
      <c r="H226" s="18"/>
      <c r="I226" s="61"/>
      <c r="J226" s="68"/>
      <c r="K226" s="68"/>
      <c r="L226" s="68"/>
      <c r="M226" s="68"/>
      <c r="N226" s="68"/>
      <c r="O226" s="18"/>
      <c r="P226" s="18"/>
      <c r="Q226" s="61">
        <f>SUM(J221:P225)/(R226*2)</f>
        <v>1</v>
      </c>
      <c r="R226" s="62">
        <f>SUM(R221:R225)</f>
        <v>4</v>
      </c>
    </row>
    <row r="227" spans="1:18" s="6" customFormat="1" ht="13.5" thickBot="1" x14ac:dyDescent="0.25">
      <c r="A227" s="5"/>
      <c r="C227" s="18"/>
      <c r="I227" s="4"/>
      <c r="J227" s="69"/>
      <c r="K227" s="69"/>
      <c r="L227" s="69"/>
      <c r="M227" s="69"/>
      <c r="N227" s="69"/>
      <c r="Q227" s="4"/>
      <c r="R227" s="53"/>
    </row>
    <row r="228" spans="1:18" s="6" customFormat="1" ht="13.5" thickBot="1" x14ac:dyDescent="0.25">
      <c r="A228" s="82">
        <v>29</v>
      </c>
      <c r="B228" s="116" t="s">
        <v>99</v>
      </c>
      <c r="C228" s="78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80"/>
      <c r="Q228" s="26"/>
      <c r="R228" s="62">
        <f>COUNTIF(J228:P228,"&gt;1")</f>
        <v>0</v>
      </c>
    </row>
    <row r="229" spans="1:18" s="6" customFormat="1" ht="15" x14ac:dyDescent="0.25">
      <c r="A229" s="83">
        <v>29</v>
      </c>
      <c r="B229" s="123" t="s">
        <v>102</v>
      </c>
      <c r="C229" s="77">
        <f>67+86</f>
        <v>153</v>
      </c>
      <c r="D229" s="25">
        <f>83+0</f>
        <v>83</v>
      </c>
      <c r="E229" s="25">
        <f>88+115</f>
        <v>203</v>
      </c>
      <c r="F229" s="25">
        <f>80+95</f>
        <v>175</v>
      </c>
      <c r="G229" s="25">
        <f>106+114</f>
        <v>220</v>
      </c>
      <c r="H229" s="76">
        <f>143+101</f>
        <v>244</v>
      </c>
      <c r="I229" s="28">
        <f>AVERAGE(C229:H229)/2</f>
        <v>89.833333333333329</v>
      </c>
      <c r="J229" s="66">
        <v>2</v>
      </c>
      <c r="K229" s="66"/>
      <c r="L229" s="66"/>
      <c r="M229" s="66"/>
      <c r="N229" s="66"/>
      <c r="O229" s="25"/>
      <c r="P229" s="25"/>
      <c r="Q229" s="28">
        <f>AVERAGE(J229:P229)/2</f>
        <v>1</v>
      </c>
      <c r="R229" s="62">
        <f>COUNTIF(J229:P229,"&gt;1")</f>
        <v>1</v>
      </c>
    </row>
    <row r="230" spans="1:18" s="6" customFormat="1" ht="15" x14ac:dyDescent="0.25">
      <c r="A230" s="83">
        <v>29</v>
      </c>
      <c r="B230" s="131" t="s">
        <v>103</v>
      </c>
      <c r="C230" s="24">
        <f>46+69</f>
        <v>115</v>
      </c>
      <c r="D230" s="58">
        <f>121+0</f>
        <v>121</v>
      </c>
      <c r="E230" s="58">
        <f>75+60</f>
        <v>135</v>
      </c>
      <c r="F230" s="58">
        <f>97+62</f>
        <v>159</v>
      </c>
      <c r="G230" s="58">
        <f>132+0</f>
        <v>132</v>
      </c>
      <c r="H230" s="43">
        <f>38+69</f>
        <v>107</v>
      </c>
      <c r="I230" s="28">
        <f t="shared" ref="I230:I233" si="84">AVERAGE(C230:H230)/2</f>
        <v>64.083333333333329</v>
      </c>
      <c r="J230" s="67">
        <v>2</v>
      </c>
      <c r="K230" s="67"/>
      <c r="L230" s="67"/>
      <c r="M230" s="67"/>
      <c r="N230" s="67"/>
      <c r="O230" s="58"/>
      <c r="P230" s="58"/>
      <c r="Q230" s="28">
        <f t="shared" ref="Q230:Q233" si="85">AVERAGE(J230:P230)/2</f>
        <v>1</v>
      </c>
      <c r="R230" s="62">
        <f t="shared" ref="R230:R233" si="86">COUNTIF(J230:P230,"&gt;1")</f>
        <v>1</v>
      </c>
    </row>
    <row r="231" spans="1:18" s="6" customFormat="1" ht="15" x14ac:dyDescent="0.25">
      <c r="A231" s="83">
        <v>29</v>
      </c>
      <c r="B231" s="124" t="s">
        <v>104</v>
      </c>
      <c r="C231" s="24">
        <f>89+121</f>
        <v>210</v>
      </c>
      <c r="D231" s="58">
        <f>139+0</f>
        <v>139</v>
      </c>
      <c r="E231" s="58">
        <f>137+162</f>
        <v>299</v>
      </c>
      <c r="F231" s="58">
        <f>87+91</f>
        <v>178</v>
      </c>
      <c r="G231" s="58">
        <v>132</v>
      </c>
      <c r="H231" s="43">
        <f>115+109</f>
        <v>224</v>
      </c>
      <c r="I231" s="28">
        <f t="shared" si="84"/>
        <v>98.5</v>
      </c>
      <c r="J231" s="67">
        <v>2</v>
      </c>
      <c r="K231" s="67"/>
      <c r="L231" s="67"/>
      <c r="M231" s="67"/>
      <c r="N231" s="67"/>
      <c r="O231" s="58"/>
      <c r="P231" s="58"/>
      <c r="Q231" s="28">
        <f t="shared" si="85"/>
        <v>1</v>
      </c>
      <c r="R231" s="62">
        <f t="shared" si="86"/>
        <v>1</v>
      </c>
    </row>
    <row r="232" spans="1:18" s="6" customFormat="1" ht="15" x14ac:dyDescent="0.25">
      <c r="A232" s="83">
        <v>29</v>
      </c>
      <c r="B232" s="124" t="s">
        <v>105</v>
      </c>
      <c r="C232" s="24">
        <f>72+64</f>
        <v>136</v>
      </c>
      <c r="D232" s="58">
        <f>122+0</f>
        <v>122</v>
      </c>
      <c r="E232" s="58">
        <f>50+104</f>
        <v>154</v>
      </c>
      <c r="F232" s="58">
        <f>112+99</f>
        <v>211</v>
      </c>
      <c r="G232" s="58">
        <f>91+70</f>
        <v>161</v>
      </c>
      <c r="H232" s="43">
        <f>67+85</f>
        <v>152</v>
      </c>
      <c r="I232" s="28">
        <f t="shared" si="84"/>
        <v>78</v>
      </c>
      <c r="J232" s="67">
        <v>2</v>
      </c>
      <c r="K232" s="67"/>
      <c r="L232" s="67"/>
      <c r="M232" s="67"/>
      <c r="N232" s="67"/>
      <c r="O232" s="58"/>
      <c r="P232" s="58"/>
      <c r="Q232" s="28">
        <f t="shared" si="85"/>
        <v>1</v>
      </c>
      <c r="R232" s="62">
        <f t="shared" si="86"/>
        <v>1</v>
      </c>
    </row>
    <row r="233" spans="1:18" s="6" customFormat="1" ht="15.75" thickBot="1" x14ac:dyDescent="0.3">
      <c r="A233" s="84">
        <v>29</v>
      </c>
      <c r="B233" s="90" t="s">
        <v>16</v>
      </c>
      <c r="C233" s="75">
        <v>0</v>
      </c>
      <c r="D233" s="13"/>
      <c r="E233" s="13"/>
      <c r="F233" s="13"/>
      <c r="G233" s="13"/>
      <c r="H233" s="44"/>
      <c r="I233" s="28">
        <f t="shared" si="84"/>
        <v>0</v>
      </c>
      <c r="J233" s="67">
        <v>0</v>
      </c>
      <c r="K233" s="67"/>
      <c r="L233" s="67"/>
      <c r="M233" s="67"/>
      <c r="N233" s="67"/>
      <c r="O233" s="58"/>
      <c r="P233" s="58"/>
      <c r="Q233" s="28">
        <f t="shared" si="85"/>
        <v>0</v>
      </c>
      <c r="R233" s="62">
        <f t="shared" si="86"/>
        <v>0</v>
      </c>
    </row>
    <row r="234" spans="1:18" s="6" customFormat="1" hidden="1" x14ac:dyDescent="0.2">
      <c r="A234" s="5"/>
      <c r="C234" s="18"/>
      <c r="D234" s="18"/>
      <c r="E234" s="18"/>
      <c r="F234" s="18"/>
      <c r="G234" s="18"/>
      <c r="H234" s="18"/>
      <c r="I234" s="61"/>
      <c r="J234" s="68"/>
      <c r="K234" s="68"/>
      <c r="L234" s="68"/>
      <c r="M234" s="68"/>
      <c r="N234" s="68"/>
      <c r="O234" s="18"/>
      <c r="P234" s="18"/>
      <c r="Q234" s="61">
        <f>SUM(J229:P233)/(R234*2)</f>
        <v>1</v>
      </c>
      <c r="R234" s="62">
        <f>SUM(R229:R233)</f>
        <v>4</v>
      </c>
    </row>
    <row r="235" spans="1:18" s="6" customFormat="1" ht="13.5" thickBot="1" x14ac:dyDescent="0.25">
      <c r="A235" s="5"/>
      <c r="C235" s="18"/>
      <c r="I235" s="4"/>
      <c r="J235" s="69"/>
      <c r="K235" s="69"/>
      <c r="L235" s="69"/>
      <c r="M235" s="69"/>
      <c r="N235" s="69"/>
      <c r="Q235" s="4"/>
      <c r="R235" s="53"/>
    </row>
    <row r="236" spans="1:18" s="6" customFormat="1" ht="15.75" thickBot="1" x14ac:dyDescent="0.25">
      <c r="A236" s="82">
        <v>30</v>
      </c>
      <c r="B236" s="127" t="s">
        <v>113</v>
      </c>
      <c r="C236" s="78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80"/>
      <c r="Q236" s="26"/>
      <c r="R236" s="53"/>
    </row>
    <row r="237" spans="1:18" s="6" customFormat="1" ht="15" x14ac:dyDescent="0.25">
      <c r="A237" s="83">
        <v>30</v>
      </c>
      <c r="B237" s="128" t="s">
        <v>104</v>
      </c>
      <c r="C237" s="77">
        <f>142+80</f>
        <v>222</v>
      </c>
      <c r="D237" s="25">
        <f>114+104</f>
        <v>218</v>
      </c>
      <c r="E237" s="25">
        <f>119+101</f>
        <v>220</v>
      </c>
      <c r="F237" s="25">
        <f>95+104</f>
        <v>199</v>
      </c>
      <c r="G237" s="25">
        <f>134+73</f>
        <v>207</v>
      </c>
      <c r="H237" s="76">
        <f>118+210</f>
        <v>328</v>
      </c>
      <c r="I237" s="28">
        <f>AVERAGE(C237:H237)/2</f>
        <v>116.16666666666667</v>
      </c>
      <c r="J237" s="66">
        <f>132+105</f>
        <v>237</v>
      </c>
      <c r="K237" s="66"/>
      <c r="L237" s="66"/>
      <c r="M237" s="66">
        <f>119+107</f>
        <v>226</v>
      </c>
      <c r="N237" s="66">
        <f>120+95</f>
        <v>215</v>
      </c>
      <c r="O237" s="25">
        <f>81+124</f>
        <v>205</v>
      </c>
      <c r="P237" s="25"/>
      <c r="Q237" s="28">
        <f>AVERAGE(J237:P237)/2</f>
        <v>110.375</v>
      </c>
      <c r="R237" s="62">
        <f>COUNTIF(J237:P237,"&gt;1")</f>
        <v>4</v>
      </c>
    </row>
    <row r="238" spans="1:18" s="6" customFormat="1" ht="15" x14ac:dyDescent="0.25">
      <c r="A238" s="83">
        <v>30</v>
      </c>
      <c r="B238" s="129" t="s">
        <v>117</v>
      </c>
      <c r="C238" s="24">
        <f>142+158</f>
        <v>300</v>
      </c>
      <c r="D238" s="58">
        <f>178+116</f>
        <v>294</v>
      </c>
      <c r="E238" s="58">
        <f>101+177</f>
        <v>278</v>
      </c>
      <c r="F238" s="58">
        <f>101+129</f>
        <v>230</v>
      </c>
      <c r="G238" s="58">
        <f>149+176</f>
        <v>325</v>
      </c>
      <c r="H238" s="43">
        <f>148+141</f>
        <v>289</v>
      </c>
      <c r="I238" s="28">
        <f t="shared" ref="I238:I241" si="87">AVERAGE(C238:H238)/2</f>
        <v>143</v>
      </c>
      <c r="J238" s="67">
        <f>101+122</f>
        <v>223</v>
      </c>
      <c r="K238" s="67">
        <f>145+125</f>
        <v>270</v>
      </c>
      <c r="L238" s="67">
        <f>110+125</f>
        <v>235</v>
      </c>
      <c r="M238" s="67">
        <f>12+159</f>
        <v>171</v>
      </c>
      <c r="N238" s="67">
        <f>127+126</f>
        <v>253</v>
      </c>
      <c r="O238" s="58">
        <f>133+172</f>
        <v>305</v>
      </c>
      <c r="P238" s="58"/>
      <c r="Q238" s="28">
        <f t="shared" ref="Q238:Q241" si="88">AVERAGE(J238:P238)/2</f>
        <v>121.41666666666667</v>
      </c>
      <c r="R238" s="62">
        <f t="shared" ref="R238:R241" si="89">COUNTIF(J238:P238,"&gt;1")</f>
        <v>6</v>
      </c>
    </row>
    <row r="239" spans="1:18" s="6" customFormat="1" ht="15" x14ac:dyDescent="0.25">
      <c r="A239" s="83">
        <v>30</v>
      </c>
      <c r="B239" s="129" t="s">
        <v>116</v>
      </c>
      <c r="C239" s="24">
        <f>103+123</f>
        <v>226</v>
      </c>
      <c r="D239" s="58">
        <f>90+121</f>
        <v>211</v>
      </c>
      <c r="E239" s="58"/>
      <c r="F239" s="58">
        <f>116+117</f>
        <v>233</v>
      </c>
      <c r="G239" s="58">
        <f>131+87</f>
        <v>218</v>
      </c>
      <c r="H239" s="43">
        <f>118+166</f>
        <v>284</v>
      </c>
      <c r="I239" s="28">
        <f t="shared" si="87"/>
        <v>117.2</v>
      </c>
      <c r="J239" s="67"/>
      <c r="K239" s="67">
        <f>87+112</f>
        <v>199</v>
      </c>
      <c r="L239" s="67">
        <f>131+97</f>
        <v>228</v>
      </c>
      <c r="M239" s="67"/>
      <c r="N239" s="67"/>
      <c r="O239" s="58">
        <f>109+105</f>
        <v>214</v>
      </c>
      <c r="P239" s="58"/>
      <c r="Q239" s="28">
        <f t="shared" si="88"/>
        <v>106.83333333333333</v>
      </c>
      <c r="R239" s="62">
        <f t="shared" si="89"/>
        <v>3</v>
      </c>
    </row>
    <row r="240" spans="1:18" s="6" customFormat="1" ht="15" x14ac:dyDescent="0.25">
      <c r="A240" s="83">
        <v>30</v>
      </c>
      <c r="B240" s="160" t="s">
        <v>158</v>
      </c>
      <c r="C240" s="24"/>
      <c r="D240" s="58"/>
      <c r="E240" s="58">
        <f>138+69</f>
        <v>207</v>
      </c>
      <c r="F240" s="58"/>
      <c r="G240" s="58">
        <f>149+99</f>
        <v>248</v>
      </c>
      <c r="H240" s="43"/>
      <c r="I240" s="28">
        <f t="shared" si="87"/>
        <v>113.75</v>
      </c>
      <c r="J240" s="67">
        <f>120+103</f>
        <v>223</v>
      </c>
      <c r="K240" s="67">
        <f>112+116</f>
        <v>228</v>
      </c>
      <c r="L240" s="67">
        <f>95+98</f>
        <v>193</v>
      </c>
      <c r="M240" s="67">
        <f>90+94</f>
        <v>184</v>
      </c>
      <c r="N240" s="67">
        <f>93+92</f>
        <v>185</v>
      </c>
      <c r="O240" s="58"/>
      <c r="P240" s="58"/>
      <c r="Q240" s="28">
        <f t="shared" si="88"/>
        <v>101.3</v>
      </c>
      <c r="R240" s="62">
        <f t="shared" si="89"/>
        <v>5</v>
      </c>
    </row>
    <row r="241" spans="1:18" s="6" customFormat="1" ht="15.75" thickBot="1" x14ac:dyDescent="0.3">
      <c r="A241" s="84">
        <v>30</v>
      </c>
      <c r="B241" s="90" t="s">
        <v>16</v>
      </c>
      <c r="C241" s="75">
        <v>0</v>
      </c>
      <c r="D241" s="13"/>
      <c r="E241" s="13"/>
      <c r="F241" s="13"/>
      <c r="G241" s="13"/>
      <c r="H241" s="44"/>
      <c r="I241" s="28">
        <f t="shared" si="87"/>
        <v>0</v>
      </c>
      <c r="J241" s="67">
        <v>0</v>
      </c>
      <c r="K241" s="67"/>
      <c r="L241" s="67"/>
      <c r="M241" s="67" t="s">
        <v>167</v>
      </c>
      <c r="N241" s="67"/>
      <c r="O241" s="58"/>
      <c r="P241" s="58"/>
      <c r="Q241" s="28">
        <f t="shared" si="88"/>
        <v>0</v>
      </c>
      <c r="R241" s="62">
        <f t="shared" si="89"/>
        <v>0</v>
      </c>
    </row>
    <row r="242" spans="1:18" s="6" customFormat="1" hidden="1" x14ac:dyDescent="0.2">
      <c r="A242" s="5"/>
      <c r="C242" s="18"/>
      <c r="D242" s="18"/>
      <c r="E242" s="18"/>
      <c r="F242" s="18"/>
      <c r="G242" s="18"/>
      <c r="H242" s="18"/>
      <c r="I242" s="61"/>
      <c r="J242" s="68"/>
      <c r="K242" s="68"/>
      <c r="L242" s="68"/>
      <c r="M242" s="68"/>
      <c r="N242" s="68"/>
      <c r="O242" s="18"/>
      <c r="P242" s="18"/>
      <c r="Q242" s="61">
        <f>SUM(J237:P241)/(R242*2)</f>
        <v>110.94444444444444</v>
      </c>
      <c r="R242" s="62">
        <f>SUM(R237:R241)</f>
        <v>18</v>
      </c>
    </row>
    <row r="243" spans="1:18" s="6" customFormat="1" ht="13.5" thickBot="1" x14ac:dyDescent="0.25">
      <c r="A243" s="5"/>
      <c r="C243" s="18"/>
      <c r="I243" s="4"/>
      <c r="J243" s="69"/>
      <c r="K243" s="69"/>
      <c r="L243" s="69"/>
      <c r="M243" s="69"/>
      <c r="N243" s="69"/>
      <c r="Q243" s="4"/>
      <c r="R243" s="53"/>
    </row>
    <row r="244" spans="1:18" s="6" customFormat="1" ht="15.75" thickBot="1" x14ac:dyDescent="0.25">
      <c r="A244" s="82">
        <v>31</v>
      </c>
      <c r="B244" s="127" t="s">
        <v>114</v>
      </c>
      <c r="C244" s="78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80"/>
      <c r="Q244" s="26"/>
      <c r="R244" s="53"/>
    </row>
    <row r="245" spans="1:18" s="6" customFormat="1" ht="15" x14ac:dyDescent="0.25">
      <c r="A245" s="83">
        <v>31</v>
      </c>
      <c r="B245" s="128" t="s">
        <v>118</v>
      </c>
      <c r="C245" s="77">
        <f>113+72</f>
        <v>185</v>
      </c>
      <c r="D245" s="25">
        <f>93+87</f>
        <v>180</v>
      </c>
      <c r="E245" s="25"/>
      <c r="F245" s="25">
        <f>91+39</f>
        <v>130</v>
      </c>
      <c r="G245" s="25">
        <f>120+123</f>
        <v>243</v>
      </c>
      <c r="H245" s="76"/>
      <c r="I245" s="28">
        <f>AVERAGE(C245:H245)/2</f>
        <v>92.25</v>
      </c>
      <c r="J245" s="66">
        <v>0</v>
      </c>
      <c r="K245" s="66"/>
      <c r="L245" s="66"/>
      <c r="M245" s="66"/>
      <c r="N245" s="66"/>
      <c r="O245" s="25"/>
      <c r="P245" s="25"/>
      <c r="Q245" s="28">
        <f>AVERAGE(J245:P245)/2</f>
        <v>0</v>
      </c>
      <c r="R245" s="62">
        <f>COUNTIF(J245:P245,"&gt;1")</f>
        <v>0</v>
      </c>
    </row>
    <row r="246" spans="1:18" s="6" customFormat="1" ht="15" x14ac:dyDescent="0.25">
      <c r="A246" s="83">
        <v>31</v>
      </c>
      <c r="B246" s="129" t="s">
        <v>54</v>
      </c>
      <c r="C246" s="24">
        <f>79+42</f>
        <v>121</v>
      </c>
      <c r="D246" s="58">
        <f>65+86</f>
        <v>151</v>
      </c>
      <c r="E246" s="58">
        <f>110+86</f>
        <v>196</v>
      </c>
      <c r="F246" s="58">
        <f>91+89</f>
        <v>180</v>
      </c>
      <c r="G246" s="58">
        <f>95+122</f>
        <v>217</v>
      </c>
      <c r="H246" s="43">
        <f>112+86</f>
        <v>198</v>
      </c>
      <c r="I246" s="28">
        <f t="shared" ref="I246:I249" si="90">AVERAGE(C246:H246)/2</f>
        <v>88.583333333333329</v>
      </c>
      <c r="J246" s="67">
        <f>77+106</f>
        <v>183</v>
      </c>
      <c r="K246" s="67">
        <f>110+88</f>
        <v>198</v>
      </c>
      <c r="L246" s="67">
        <f>93+106</f>
        <v>199</v>
      </c>
      <c r="M246" s="67">
        <f>74+98</f>
        <v>172</v>
      </c>
      <c r="N246" s="67">
        <f>67+70</f>
        <v>137</v>
      </c>
      <c r="O246" s="58">
        <f>102+120</f>
        <v>222</v>
      </c>
      <c r="P246" s="58"/>
      <c r="Q246" s="28">
        <f t="shared" ref="Q246:Q249" si="91">AVERAGE(J246:P246)/2</f>
        <v>92.583333333333329</v>
      </c>
      <c r="R246" s="62">
        <f t="shared" ref="R246:R249" si="92">COUNTIF(J246:P246,"&gt;1")</f>
        <v>6</v>
      </c>
    </row>
    <row r="247" spans="1:18" s="6" customFormat="1" ht="15" x14ac:dyDescent="0.25">
      <c r="A247" s="83">
        <v>31</v>
      </c>
      <c r="B247" s="164" t="s">
        <v>166</v>
      </c>
      <c r="C247" s="24">
        <f>110+89</f>
        <v>199</v>
      </c>
      <c r="D247" s="58"/>
      <c r="E247" s="58">
        <f>77+114</f>
        <v>191</v>
      </c>
      <c r="F247" s="58">
        <f>99+89</f>
        <v>188</v>
      </c>
      <c r="G247" s="58"/>
      <c r="H247" s="43">
        <f>96*2</f>
        <v>192</v>
      </c>
      <c r="I247" s="28">
        <f t="shared" si="90"/>
        <v>96.25</v>
      </c>
      <c r="J247" s="67"/>
      <c r="K247" s="67"/>
      <c r="L247" s="67"/>
      <c r="M247" s="67"/>
      <c r="N247" s="67"/>
      <c r="O247" s="58">
        <v>174</v>
      </c>
      <c r="P247" s="58"/>
      <c r="Q247" s="28">
        <f t="shared" si="91"/>
        <v>87</v>
      </c>
      <c r="R247" s="62">
        <f t="shared" si="92"/>
        <v>1</v>
      </c>
    </row>
    <row r="248" spans="1:18" s="6" customFormat="1" ht="15" x14ac:dyDescent="0.25">
      <c r="A248" s="83">
        <v>31</v>
      </c>
      <c r="B248" s="135" t="s">
        <v>134</v>
      </c>
      <c r="C248" s="24"/>
      <c r="D248" s="58">
        <f>92+122</f>
        <v>214</v>
      </c>
      <c r="E248" s="58">
        <f>84+109</f>
        <v>193</v>
      </c>
      <c r="F248" s="58"/>
      <c r="G248" s="58">
        <f>99+98</f>
        <v>197</v>
      </c>
      <c r="H248" s="43">
        <f>133+125</f>
        <v>258</v>
      </c>
      <c r="I248" s="28">
        <f t="shared" si="90"/>
        <v>107.75</v>
      </c>
      <c r="J248" s="67">
        <f>181+122</f>
        <v>303</v>
      </c>
      <c r="K248" s="67">
        <f>87+116</f>
        <v>203</v>
      </c>
      <c r="L248" s="67">
        <f>113+112</f>
        <v>225</v>
      </c>
      <c r="M248" s="67">
        <f>73+139</f>
        <v>212</v>
      </c>
      <c r="N248" s="67">
        <f>114+118</f>
        <v>232</v>
      </c>
      <c r="O248" s="58">
        <f>97+89</f>
        <v>186</v>
      </c>
      <c r="P248" s="58"/>
      <c r="Q248" s="28">
        <f t="shared" si="91"/>
        <v>113.41666666666667</v>
      </c>
      <c r="R248" s="62">
        <f t="shared" si="92"/>
        <v>6</v>
      </c>
    </row>
    <row r="249" spans="1:18" s="6" customFormat="1" ht="15.75" thickBot="1" x14ac:dyDescent="0.3">
      <c r="A249" s="84">
        <v>31</v>
      </c>
      <c r="B249" s="159" t="s">
        <v>157</v>
      </c>
      <c r="C249" s="75">
        <v>0</v>
      </c>
      <c r="D249" s="13"/>
      <c r="E249" s="13"/>
      <c r="F249" s="13"/>
      <c r="G249" s="13"/>
      <c r="H249" s="44"/>
      <c r="I249" s="28">
        <f t="shared" si="90"/>
        <v>0</v>
      </c>
      <c r="J249" s="67"/>
      <c r="K249" s="67">
        <f>79+152</f>
        <v>231</v>
      </c>
      <c r="L249" s="67">
        <f>90+101</f>
        <v>191</v>
      </c>
      <c r="M249" s="67">
        <f>59+76</f>
        <v>135</v>
      </c>
      <c r="N249" s="67">
        <f>103+96</f>
        <v>199</v>
      </c>
      <c r="O249" s="58"/>
      <c r="P249" s="58"/>
      <c r="Q249" s="28">
        <f t="shared" si="91"/>
        <v>94.5</v>
      </c>
      <c r="R249" s="62">
        <f t="shared" si="92"/>
        <v>4</v>
      </c>
    </row>
    <row r="250" spans="1:18" s="6" customFormat="1" hidden="1" x14ac:dyDescent="0.2">
      <c r="A250" s="5"/>
      <c r="B250" s="9"/>
      <c r="C250" s="18"/>
      <c r="D250" s="18"/>
      <c r="E250" s="18"/>
      <c r="F250" s="18"/>
      <c r="G250" s="18"/>
      <c r="H250" s="18"/>
      <c r="I250" s="61"/>
      <c r="J250" s="68"/>
      <c r="K250" s="68"/>
      <c r="L250" s="68"/>
      <c r="M250" s="68"/>
      <c r="N250" s="68"/>
      <c r="O250" s="18"/>
      <c r="P250" s="18"/>
      <c r="Q250" s="61">
        <f>SUM(J245:P249)/(R250*2)</f>
        <v>100.05882352941177</v>
      </c>
      <c r="R250" s="62">
        <f>SUM(R245:R249)</f>
        <v>17</v>
      </c>
    </row>
    <row r="251" spans="1:18" s="6" customFormat="1" ht="13.5" thickBot="1" x14ac:dyDescent="0.25">
      <c r="A251" s="5"/>
      <c r="B251" s="9"/>
      <c r="C251" s="18"/>
      <c r="I251" s="4"/>
      <c r="J251" s="69"/>
      <c r="K251" s="69"/>
      <c r="L251" s="69"/>
      <c r="M251" s="69"/>
      <c r="N251" s="69"/>
      <c r="Q251" s="4"/>
      <c r="R251" s="53"/>
    </row>
    <row r="252" spans="1:18" s="6" customFormat="1" ht="15.75" thickBot="1" x14ac:dyDescent="0.25">
      <c r="A252" s="82">
        <v>32</v>
      </c>
      <c r="B252" s="127" t="s">
        <v>115</v>
      </c>
      <c r="C252" s="78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80"/>
      <c r="Q252" s="26"/>
      <c r="R252" s="53"/>
    </row>
    <row r="253" spans="1:18" s="6" customFormat="1" ht="15" x14ac:dyDescent="0.25">
      <c r="A253" s="83">
        <v>32</v>
      </c>
      <c r="B253" s="136" t="s">
        <v>135</v>
      </c>
      <c r="C253" s="77">
        <f>66+49</f>
        <v>115</v>
      </c>
      <c r="D253" s="25"/>
      <c r="E253" s="25"/>
      <c r="F253" s="25"/>
      <c r="G253" s="25"/>
      <c r="H253" s="76"/>
      <c r="I253" s="28">
        <f>AVERAGE(C253:H253)/2</f>
        <v>57.5</v>
      </c>
      <c r="J253" s="66">
        <v>2</v>
      </c>
      <c r="K253" s="66"/>
      <c r="L253" s="66"/>
      <c r="M253" s="66"/>
      <c r="N253" s="66"/>
      <c r="O253" s="25"/>
      <c r="P253" s="25"/>
      <c r="Q253" s="28"/>
      <c r="R253" s="62">
        <f>COUNTIF(J253:P253,"&gt;1")</f>
        <v>1</v>
      </c>
    </row>
    <row r="254" spans="1:18" s="6" customFormat="1" ht="15" x14ac:dyDescent="0.25">
      <c r="A254" s="83">
        <v>32</v>
      </c>
      <c r="B254" s="135" t="s">
        <v>136</v>
      </c>
      <c r="C254" s="24">
        <f>78+110</f>
        <v>188</v>
      </c>
      <c r="D254" s="58"/>
      <c r="E254" s="58"/>
      <c r="F254" s="58"/>
      <c r="G254" s="58"/>
      <c r="H254" s="43"/>
      <c r="I254" s="28">
        <f t="shared" ref="I254:I257" si="93">AVERAGE(C254:H254)/2</f>
        <v>94</v>
      </c>
      <c r="J254" s="67">
        <v>2</v>
      </c>
      <c r="K254" s="67"/>
      <c r="L254" s="67"/>
      <c r="M254" s="67"/>
      <c r="N254" s="67"/>
      <c r="O254" s="58"/>
      <c r="P254" s="58"/>
      <c r="Q254" s="28"/>
      <c r="R254" s="62">
        <f t="shared" ref="R254:R257" si="94">COUNTIF(J254:P254,"&gt;1")</f>
        <v>1</v>
      </c>
    </row>
    <row r="255" spans="1:18" s="6" customFormat="1" ht="15" x14ac:dyDescent="0.25">
      <c r="A255" s="83">
        <v>32</v>
      </c>
      <c r="B255" s="135" t="s">
        <v>137</v>
      </c>
      <c r="C255" s="24">
        <f>74+77</f>
        <v>151</v>
      </c>
      <c r="D255" s="58"/>
      <c r="E255" s="58"/>
      <c r="F255" s="58"/>
      <c r="G255" s="58"/>
      <c r="H255" s="43"/>
      <c r="I255" s="28">
        <f t="shared" si="93"/>
        <v>75.5</v>
      </c>
      <c r="J255" s="67">
        <v>2</v>
      </c>
      <c r="K255" s="67"/>
      <c r="L255" s="67"/>
      <c r="M255" s="67"/>
      <c r="N255" s="67"/>
      <c r="O255" s="58"/>
      <c r="P255" s="58"/>
      <c r="Q255" s="28"/>
      <c r="R255" s="62">
        <f t="shared" si="94"/>
        <v>1</v>
      </c>
    </row>
    <row r="256" spans="1:18" s="6" customFormat="1" ht="15" x14ac:dyDescent="0.25">
      <c r="A256" s="83">
        <v>32</v>
      </c>
      <c r="B256" s="89" t="s">
        <v>20</v>
      </c>
      <c r="C256" s="24">
        <v>0</v>
      </c>
      <c r="D256" s="58"/>
      <c r="E256" s="58"/>
      <c r="F256" s="58"/>
      <c r="G256" s="58"/>
      <c r="H256" s="43"/>
      <c r="I256" s="28">
        <f t="shared" si="93"/>
        <v>0</v>
      </c>
      <c r="J256" s="67">
        <v>2</v>
      </c>
      <c r="K256" s="67"/>
      <c r="L256" s="67"/>
      <c r="M256" s="67"/>
      <c r="N256" s="67"/>
      <c r="O256" s="58"/>
      <c r="P256" s="58"/>
      <c r="Q256" s="28"/>
      <c r="R256" s="62">
        <f t="shared" si="94"/>
        <v>1</v>
      </c>
    </row>
    <row r="257" spans="1:18" s="6" customFormat="1" ht="15.75" thickBot="1" x14ac:dyDescent="0.3">
      <c r="A257" s="84">
        <v>32</v>
      </c>
      <c r="B257" s="90" t="s">
        <v>16</v>
      </c>
      <c r="C257" s="75">
        <v>0</v>
      </c>
      <c r="D257" s="13"/>
      <c r="E257" s="13"/>
      <c r="F257" s="13"/>
      <c r="G257" s="13"/>
      <c r="H257" s="44"/>
      <c r="I257" s="28">
        <f t="shared" si="93"/>
        <v>0</v>
      </c>
      <c r="J257" s="67"/>
      <c r="K257" s="67"/>
      <c r="L257" s="67"/>
      <c r="M257" s="67"/>
      <c r="N257" s="67"/>
      <c r="O257" s="58"/>
      <c r="P257" s="58"/>
      <c r="Q257" s="28"/>
      <c r="R257" s="62">
        <f t="shared" si="94"/>
        <v>0</v>
      </c>
    </row>
    <row r="258" spans="1:18" s="6" customFormat="1" hidden="1" x14ac:dyDescent="0.2">
      <c r="A258" s="5"/>
      <c r="C258" s="18"/>
      <c r="D258" s="18"/>
      <c r="E258" s="18"/>
      <c r="F258" s="18"/>
      <c r="G258" s="18"/>
      <c r="H258" s="18"/>
      <c r="I258" s="61"/>
      <c r="J258" s="68"/>
      <c r="K258" s="68"/>
      <c r="L258" s="68"/>
      <c r="M258" s="68"/>
      <c r="N258" s="68"/>
      <c r="O258" s="18"/>
      <c r="P258" s="18"/>
      <c r="Q258" s="61">
        <f>SUM(J253:P257)/(R258*2)</f>
        <v>1</v>
      </c>
      <c r="R258" s="62">
        <f>SUM(R253:R257)</f>
        <v>4</v>
      </c>
    </row>
    <row r="259" spans="1:18" s="6" customFormat="1" ht="13.5" thickBot="1" x14ac:dyDescent="0.25">
      <c r="A259" s="5"/>
      <c r="C259" s="18"/>
      <c r="I259" s="4"/>
      <c r="J259" s="69"/>
      <c r="K259" s="69"/>
      <c r="L259" s="69"/>
      <c r="M259" s="69"/>
      <c r="N259" s="69"/>
      <c r="Q259" s="4"/>
      <c r="R259" s="53"/>
    </row>
    <row r="260" spans="1:18" s="6" customFormat="1" ht="13.5" thickBot="1" x14ac:dyDescent="0.25">
      <c r="A260" s="82">
        <v>33</v>
      </c>
      <c r="B260" s="116" t="s">
        <v>127</v>
      </c>
      <c r="C260" s="78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80"/>
      <c r="Q260" s="26"/>
      <c r="R260" s="53"/>
    </row>
    <row r="261" spans="1:18" s="6" customFormat="1" ht="15" x14ac:dyDescent="0.25">
      <c r="A261" s="83">
        <v>33</v>
      </c>
      <c r="B261" s="130" t="s">
        <v>128</v>
      </c>
      <c r="C261" s="77">
        <f>89+53</f>
        <v>142</v>
      </c>
      <c r="D261" s="25"/>
      <c r="E261" s="25">
        <f>105+120</f>
        <v>225</v>
      </c>
      <c r="F261" s="25">
        <f>90+96</f>
        <v>186</v>
      </c>
      <c r="G261" s="25">
        <f>92+69</f>
        <v>161</v>
      </c>
      <c r="H261" s="76">
        <f>70+110</f>
        <v>180</v>
      </c>
      <c r="I261" s="28">
        <f>AVERAGE(C261:H261)/2</f>
        <v>89.4</v>
      </c>
      <c r="J261" s="66">
        <f>110+60</f>
        <v>170</v>
      </c>
      <c r="K261" s="66"/>
      <c r="L261" s="66"/>
      <c r="M261" s="66"/>
      <c r="N261" s="66"/>
      <c r="O261" s="25"/>
      <c r="P261" s="25"/>
      <c r="Q261" s="28">
        <f>AVERAGE(J261:P261)/2</f>
        <v>85</v>
      </c>
      <c r="R261" s="62">
        <f>COUNTIF(J261:P261,"&gt;1")</f>
        <v>1</v>
      </c>
    </row>
    <row r="262" spans="1:18" s="6" customFormat="1" ht="15" x14ac:dyDescent="0.25">
      <c r="A262" s="83">
        <v>33</v>
      </c>
      <c r="B262" s="131" t="s">
        <v>129</v>
      </c>
      <c r="C262" s="24">
        <f>54+44</f>
        <v>98</v>
      </c>
      <c r="D262" s="58">
        <f>46+52</f>
        <v>98</v>
      </c>
      <c r="E262" s="58">
        <f>56+56</f>
        <v>112</v>
      </c>
      <c r="F262" s="58">
        <f>61+58</f>
        <v>119</v>
      </c>
      <c r="G262" s="58">
        <f>68+59</f>
        <v>127</v>
      </c>
      <c r="H262" s="43">
        <f>61+62</f>
        <v>123</v>
      </c>
      <c r="I262" s="28">
        <f t="shared" ref="I262:I265" si="95">AVERAGE(C262:H262)/2</f>
        <v>56.416666666666664</v>
      </c>
      <c r="J262" s="67">
        <f>72+54</f>
        <v>126</v>
      </c>
      <c r="K262" s="67">
        <f>75+93</f>
        <v>168</v>
      </c>
      <c r="L262" s="67">
        <f>59+81</f>
        <v>140</v>
      </c>
      <c r="M262" s="67">
        <f>67+83</f>
        <v>150</v>
      </c>
      <c r="N262" s="67">
        <f>46+67</f>
        <v>113</v>
      </c>
      <c r="O262" s="58">
        <f>76+74</f>
        <v>150</v>
      </c>
      <c r="P262" s="58"/>
      <c r="Q262" s="28">
        <f t="shared" ref="Q262:Q265" si="96">AVERAGE(J262:P262)/2</f>
        <v>70.583333333333329</v>
      </c>
      <c r="R262" s="62">
        <f t="shared" ref="R262:R265" si="97">COUNTIF(J262:P262,"&gt;1")</f>
        <v>6</v>
      </c>
    </row>
    <row r="263" spans="1:18" s="6" customFormat="1" ht="15" x14ac:dyDescent="0.25">
      <c r="A263" s="83">
        <v>33</v>
      </c>
      <c r="B263" s="137" t="s">
        <v>66</v>
      </c>
      <c r="C263" s="24">
        <f>71+70</f>
        <v>141</v>
      </c>
      <c r="D263" s="58">
        <f>112+86</f>
        <v>198</v>
      </c>
      <c r="E263" s="58">
        <f>71+104</f>
        <v>175</v>
      </c>
      <c r="F263" s="58">
        <f>70+93</f>
        <v>163</v>
      </c>
      <c r="G263" s="58">
        <f>125+78</f>
        <v>203</v>
      </c>
      <c r="H263" s="43">
        <f>82+103</f>
        <v>185</v>
      </c>
      <c r="I263" s="28">
        <f t="shared" si="95"/>
        <v>88.75</v>
      </c>
      <c r="J263" s="67">
        <f>88+84</f>
        <v>172</v>
      </c>
      <c r="K263" s="67">
        <f>88+92</f>
        <v>180</v>
      </c>
      <c r="L263" s="67">
        <f>80+66</f>
        <v>146</v>
      </c>
      <c r="M263" s="67">
        <f>105+126</f>
        <v>231</v>
      </c>
      <c r="N263" s="67">
        <f>95+108</f>
        <v>203</v>
      </c>
      <c r="O263" s="58">
        <f>93+110</f>
        <v>203</v>
      </c>
      <c r="P263" s="58"/>
      <c r="Q263" s="28">
        <f t="shared" si="96"/>
        <v>94.583333333333329</v>
      </c>
      <c r="R263" s="62">
        <f t="shared" si="97"/>
        <v>6</v>
      </c>
    </row>
    <row r="264" spans="1:18" s="6" customFormat="1" ht="15" x14ac:dyDescent="0.25">
      <c r="A264" s="83">
        <v>33</v>
      </c>
      <c r="B264" s="137" t="s">
        <v>141</v>
      </c>
      <c r="C264" s="24">
        <f>50+75</f>
        <v>125</v>
      </c>
      <c r="D264" s="58">
        <f>89+74</f>
        <v>163</v>
      </c>
      <c r="E264" s="58"/>
      <c r="F264" s="58"/>
      <c r="G264" s="58"/>
      <c r="H264" s="43"/>
      <c r="I264" s="28">
        <f t="shared" si="95"/>
        <v>72</v>
      </c>
      <c r="J264" s="67"/>
      <c r="K264" s="67">
        <f>71+88</f>
        <v>159</v>
      </c>
      <c r="L264" s="67">
        <f>80+66</f>
        <v>146</v>
      </c>
      <c r="M264" s="67">
        <f>51+87</f>
        <v>138</v>
      </c>
      <c r="N264" s="67">
        <f>53+64</f>
        <v>117</v>
      </c>
      <c r="O264" s="58">
        <f>108+76</f>
        <v>184</v>
      </c>
      <c r="P264" s="58"/>
      <c r="Q264" s="28">
        <f t="shared" si="96"/>
        <v>74.400000000000006</v>
      </c>
      <c r="R264" s="62">
        <f t="shared" si="97"/>
        <v>5</v>
      </c>
    </row>
    <row r="265" spans="1:18" s="6" customFormat="1" ht="15.75" thickBot="1" x14ac:dyDescent="0.3">
      <c r="A265" s="84">
        <v>33</v>
      </c>
      <c r="B265" s="141" t="s">
        <v>150</v>
      </c>
      <c r="C265" s="75"/>
      <c r="D265" s="13">
        <f>58+63</f>
        <v>121</v>
      </c>
      <c r="E265" s="13">
        <f>70+69</f>
        <v>139</v>
      </c>
      <c r="F265" s="13">
        <f>48+74</f>
        <v>122</v>
      </c>
      <c r="G265" s="13">
        <f>46+59</f>
        <v>105</v>
      </c>
      <c r="H265" s="44">
        <f>69+76</f>
        <v>145</v>
      </c>
      <c r="I265" s="28">
        <f t="shared" si="95"/>
        <v>63.2</v>
      </c>
      <c r="J265" s="67">
        <f>60+70</f>
        <v>130</v>
      </c>
      <c r="K265" s="67">
        <f>76+69</f>
        <v>145</v>
      </c>
      <c r="L265" s="67">
        <f>60+82</f>
        <v>142</v>
      </c>
      <c r="M265" s="67">
        <f>108+102</f>
        <v>210</v>
      </c>
      <c r="N265" s="67">
        <f>52+70</f>
        <v>122</v>
      </c>
      <c r="O265" s="58">
        <f>69+79</f>
        <v>148</v>
      </c>
      <c r="P265" s="58"/>
      <c r="Q265" s="28">
        <f t="shared" si="96"/>
        <v>74.75</v>
      </c>
      <c r="R265" s="62">
        <f t="shared" si="97"/>
        <v>6</v>
      </c>
    </row>
    <row r="266" spans="1:18" s="6" customFormat="1" hidden="1" x14ac:dyDescent="0.2">
      <c r="A266" s="70"/>
      <c r="B266" s="9"/>
      <c r="C266" s="18"/>
      <c r="D266" s="18"/>
      <c r="E266" s="18"/>
      <c r="F266" s="18"/>
      <c r="G266" s="18"/>
      <c r="H266" s="18"/>
      <c r="I266" s="61"/>
      <c r="J266" s="68"/>
      <c r="K266" s="68"/>
      <c r="L266" s="68"/>
      <c r="M266" s="68"/>
      <c r="N266" s="68"/>
      <c r="O266" s="18"/>
      <c r="P266" s="18"/>
      <c r="Q266" s="61">
        <f>SUM(J261:P265)/(R266*2)</f>
        <v>79.020833333333329</v>
      </c>
      <c r="R266" s="62">
        <f>SUM(R261:R265)</f>
        <v>24</v>
      </c>
    </row>
    <row r="267" spans="1:18" s="6" customFormat="1" ht="13.5" thickBot="1" x14ac:dyDescent="0.25">
      <c r="A267" s="70"/>
      <c r="B267" s="9"/>
      <c r="C267" s="18"/>
      <c r="I267" s="4"/>
      <c r="J267" s="69"/>
      <c r="K267" s="69"/>
      <c r="L267" s="69"/>
      <c r="M267" s="69"/>
      <c r="N267" s="69"/>
      <c r="Q267" s="4"/>
      <c r="R267" s="53"/>
    </row>
    <row r="268" spans="1:18" s="6" customFormat="1" ht="13.5" thickBot="1" x14ac:dyDescent="0.25">
      <c r="A268" s="82">
        <v>34</v>
      </c>
      <c r="B268" s="81"/>
      <c r="C268" s="78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80"/>
      <c r="Q268" s="26"/>
      <c r="R268" s="53"/>
    </row>
    <row r="269" spans="1:18" s="6" customFormat="1" ht="15" x14ac:dyDescent="0.25">
      <c r="A269" s="83">
        <v>34</v>
      </c>
      <c r="B269" s="88" t="s">
        <v>17</v>
      </c>
      <c r="C269" s="77">
        <v>2</v>
      </c>
      <c r="D269" s="25"/>
      <c r="E269" s="25"/>
      <c r="F269" s="25"/>
      <c r="G269" s="25"/>
      <c r="H269" s="76"/>
      <c r="I269" s="28">
        <f>AVERAGE(C269:H269)/2</f>
        <v>1</v>
      </c>
      <c r="J269" s="66"/>
      <c r="K269" s="66"/>
      <c r="L269" s="66"/>
      <c r="M269" s="66"/>
      <c r="N269" s="66"/>
      <c r="O269" s="25"/>
      <c r="P269" s="25"/>
      <c r="Q269" s="28"/>
      <c r="R269" s="62">
        <f>COUNTIF(C269:H269,"&gt;1")</f>
        <v>1</v>
      </c>
    </row>
    <row r="270" spans="1:18" s="6" customFormat="1" ht="15" x14ac:dyDescent="0.25">
      <c r="A270" s="83">
        <v>34</v>
      </c>
      <c r="B270" s="89" t="s">
        <v>18</v>
      </c>
      <c r="C270" s="24">
        <v>2</v>
      </c>
      <c r="D270" s="58"/>
      <c r="E270" s="58"/>
      <c r="F270" s="58"/>
      <c r="G270" s="58"/>
      <c r="H270" s="43"/>
      <c r="I270" s="28">
        <f t="shared" ref="I270:I273" si="98">AVERAGE(C270:H270)/2</f>
        <v>1</v>
      </c>
      <c r="J270" s="67"/>
      <c r="K270" s="67"/>
      <c r="L270" s="67"/>
      <c r="M270" s="67"/>
      <c r="N270" s="67"/>
      <c r="O270" s="58"/>
      <c r="P270" s="58"/>
      <c r="Q270" s="28"/>
      <c r="R270" s="62">
        <f t="shared" ref="R270:R273" si="99">COUNTIF(C270:H270,"&gt;1")</f>
        <v>1</v>
      </c>
    </row>
    <row r="271" spans="1:18" s="6" customFormat="1" ht="15" x14ac:dyDescent="0.25">
      <c r="A271" s="83">
        <v>34</v>
      </c>
      <c r="B271" s="89" t="s">
        <v>19</v>
      </c>
      <c r="C271" s="24">
        <v>2</v>
      </c>
      <c r="D271" s="58"/>
      <c r="E271" s="58"/>
      <c r="F271" s="58"/>
      <c r="G271" s="58"/>
      <c r="H271" s="43"/>
      <c r="I271" s="28">
        <f t="shared" si="98"/>
        <v>1</v>
      </c>
      <c r="J271" s="67"/>
      <c r="K271" s="67"/>
      <c r="L271" s="67"/>
      <c r="M271" s="67"/>
      <c r="N271" s="67"/>
      <c r="O271" s="58"/>
      <c r="P271" s="58"/>
      <c r="Q271" s="28"/>
      <c r="R271" s="62">
        <f t="shared" si="99"/>
        <v>1</v>
      </c>
    </row>
    <row r="272" spans="1:18" s="6" customFormat="1" ht="15" x14ac:dyDescent="0.25">
      <c r="A272" s="83">
        <v>34</v>
      </c>
      <c r="B272" s="89" t="s">
        <v>20</v>
      </c>
      <c r="C272" s="24">
        <v>2</v>
      </c>
      <c r="D272" s="58"/>
      <c r="E272" s="58"/>
      <c r="F272" s="58"/>
      <c r="G272" s="58"/>
      <c r="H272" s="43"/>
      <c r="I272" s="28">
        <f t="shared" si="98"/>
        <v>1</v>
      </c>
      <c r="J272" s="67"/>
      <c r="K272" s="67"/>
      <c r="L272" s="67"/>
      <c r="M272" s="67"/>
      <c r="N272" s="67"/>
      <c r="O272" s="58"/>
      <c r="P272" s="58"/>
      <c r="Q272" s="28"/>
      <c r="R272" s="62">
        <f t="shared" si="99"/>
        <v>1</v>
      </c>
    </row>
    <row r="273" spans="1:19" s="6" customFormat="1" ht="15.75" thickBot="1" x14ac:dyDescent="0.3">
      <c r="A273" s="84">
        <v>34</v>
      </c>
      <c r="B273" s="90" t="s">
        <v>16</v>
      </c>
      <c r="C273" s="75">
        <v>0</v>
      </c>
      <c r="D273" s="13"/>
      <c r="E273" s="13"/>
      <c r="F273" s="13"/>
      <c r="G273" s="13"/>
      <c r="H273" s="44"/>
      <c r="I273" s="28">
        <f t="shared" si="98"/>
        <v>0</v>
      </c>
      <c r="J273" s="67"/>
      <c r="K273" s="67"/>
      <c r="L273" s="67"/>
      <c r="M273" s="67"/>
      <c r="N273" s="67"/>
      <c r="O273" s="58"/>
      <c r="P273" s="58"/>
      <c r="Q273" s="28"/>
      <c r="R273" s="62">
        <f t="shared" si="99"/>
        <v>0</v>
      </c>
    </row>
    <row r="274" spans="1:19" s="6" customFormat="1" hidden="1" x14ac:dyDescent="0.2">
      <c r="A274" s="70"/>
      <c r="B274" s="9"/>
      <c r="C274" s="18"/>
      <c r="D274" s="18"/>
      <c r="E274" s="18"/>
      <c r="F274" s="18"/>
      <c r="G274" s="18"/>
      <c r="H274" s="18"/>
      <c r="I274" s="61"/>
      <c r="J274" s="68"/>
      <c r="K274" s="68"/>
      <c r="L274" s="68"/>
      <c r="M274" s="68"/>
      <c r="N274" s="68"/>
      <c r="O274" s="18"/>
      <c r="P274" s="18"/>
      <c r="Q274" s="61">
        <f>SUM(C269:H273)/(R274*2)</f>
        <v>1</v>
      </c>
      <c r="R274" s="62">
        <f>SUM(R269:R273)</f>
        <v>4</v>
      </c>
    </row>
    <row r="275" spans="1:19" s="6" customFormat="1" ht="13.5" thickBot="1" x14ac:dyDescent="0.25">
      <c r="A275" s="70"/>
      <c r="B275" s="9"/>
      <c r="C275" s="18"/>
      <c r="I275" s="4"/>
      <c r="J275" s="69"/>
      <c r="K275" s="69"/>
      <c r="L275" s="69"/>
      <c r="M275" s="69"/>
      <c r="N275" s="69"/>
      <c r="Q275" s="4"/>
      <c r="R275" s="53"/>
    </row>
    <row r="276" spans="1:19" s="6" customFormat="1" ht="13.5" thickBot="1" x14ac:dyDescent="0.25">
      <c r="A276" s="82">
        <v>35</v>
      </c>
      <c r="B276" s="81"/>
      <c r="C276" s="78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80"/>
      <c r="Q276" s="42"/>
      <c r="R276" s="62">
        <f>COUNTIF(J276:P276,"&gt;1")</f>
        <v>0</v>
      </c>
    </row>
    <row r="277" spans="1:19" s="6" customFormat="1" ht="15" x14ac:dyDescent="0.25">
      <c r="A277" s="83">
        <v>35</v>
      </c>
      <c r="B277" s="94"/>
      <c r="C277" s="77">
        <v>2</v>
      </c>
      <c r="D277" s="25"/>
      <c r="E277" s="25"/>
      <c r="F277" s="25"/>
      <c r="G277" s="25"/>
      <c r="H277" s="76"/>
      <c r="I277" s="28">
        <f>AVERAGE(C277:H277)/2</f>
        <v>1</v>
      </c>
      <c r="J277" s="66"/>
      <c r="K277" s="66"/>
      <c r="L277" s="66"/>
      <c r="M277" s="66"/>
      <c r="N277" s="66"/>
      <c r="O277" s="25"/>
      <c r="P277" s="25"/>
      <c r="Q277" s="28"/>
      <c r="R277" s="62">
        <f>COUNTIF(C277:H277,"&gt;1")</f>
        <v>1</v>
      </c>
    </row>
    <row r="278" spans="1:19" s="6" customFormat="1" ht="15" x14ac:dyDescent="0.25">
      <c r="A278" s="83">
        <v>35</v>
      </c>
      <c r="B278" s="95"/>
      <c r="C278" s="24">
        <v>2</v>
      </c>
      <c r="D278" s="58"/>
      <c r="E278" s="58"/>
      <c r="F278" s="58"/>
      <c r="G278" s="58"/>
      <c r="H278" s="43"/>
      <c r="I278" s="28">
        <f t="shared" ref="I278:I281" si="100">AVERAGE(C278:H278)/2</f>
        <v>1</v>
      </c>
      <c r="J278" s="67"/>
      <c r="K278" s="67"/>
      <c r="L278" s="67"/>
      <c r="M278" s="67"/>
      <c r="N278" s="67"/>
      <c r="O278" s="58"/>
      <c r="P278" s="58"/>
      <c r="Q278" s="28"/>
      <c r="R278" s="62">
        <f t="shared" ref="R278:R281" si="101">COUNTIF(C278:H278,"&gt;1")</f>
        <v>1</v>
      </c>
    </row>
    <row r="279" spans="1:19" s="6" customFormat="1" ht="15" x14ac:dyDescent="0.25">
      <c r="A279" s="83">
        <v>35</v>
      </c>
      <c r="B279" s="95"/>
      <c r="C279" s="24">
        <v>2</v>
      </c>
      <c r="D279" s="58"/>
      <c r="E279" s="58"/>
      <c r="F279" s="58"/>
      <c r="G279" s="58"/>
      <c r="H279" s="43"/>
      <c r="I279" s="28">
        <f t="shared" si="100"/>
        <v>1</v>
      </c>
      <c r="J279" s="67"/>
      <c r="K279" s="67"/>
      <c r="L279" s="67"/>
      <c r="M279" s="67"/>
      <c r="N279" s="67"/>
      <c r="O279" s="58"/>
      <c r="P279" s="58"/>
      <c r="Q279" s="28"/>
      <c r="R279" s="62">
        <f t="shared" si="101"/>
        <v>1</v>
      </c>
      <c r="S279" s="8"/>
    </row>
    <row r="280" spans="1:19" s="6" customFormat="1" ht="15" x14ac:dyDescent="0.25">
      <c r="A280" s="83">
        <v>35</v>
      </c>
      <c r="B280" s="95"/>
      <c r="C280" s="24">
        <v>2</v>
      </c>
      <c r="D280" s="58"/>
      <c r="E280" s="58"/>
      <c r="F280" s="58"/>
      <c r="G280" s="58"/>
      <c r="H280" s="43"/>
      <c r="I280" s="28">
        <f t="shared" si="100"/>
        <v>1</v>
      </c>
      <c r="J280" s="67"/>
      <c r="K280" s="67"/>
      <c r="L280" s="67"/>
      <c r="M280" s="67"/>
      <c r="N280" s="67"/>
      <c r="O280" s="58"/>
      <c r="P280" s="58"/>
      <c r="Q280" s="28"/>
      <c r="R280" s="62">
        <f t="shared" si="101"/>
        <v>1</v>
      </c>
      <c r="S280" s="8"/>
    </row>
    <row r="281" spans="1:19" s="6" customFormat="1" ht="15.75" thickBot="1" x14ac:dyDescent="0.3">
      <c r="A281" s="84">
        <v>35</v>
      </c>
      <c r="B281" s="90" t="s">
        <v>16</v>
      </c>
      <c r="C281" s="75">
        <v>0</v>
      </c>
      <c r="D281" s="13"/>
      <c r="E281" s="13"/>
      <c r="F281" s="13"/>
      <c r="G281" s="13"/>
      <c r="H281" s="44"/>
      <c r="I281" s="28">
        <f t="shared" si="100"/>
        <v>0</v>
      </c>
      <c r="J281" s="67"/>
      <c r="K281" s="67"/>
      <c r="L281" s="67"/>
      <c r="M281" s="67"/>
      <c r="N281" s="67"/>
      <c r="O281" s="58"/>
      <c r="P281" s="58"/>
      <c r="Q281" s="28"/>
      <c r="R281" s="62">
        <f t="shared" si="101"/>
        <v>0</v>
      </c>
    </row>
    <row r="282" spans="1:19" s="6" customFormat="1" x14ac:dyDescent="0.2">
      <c r="A282" s="70"/>
      <c r="B282" s="9"/>
      <c r="C282" s="18"/>
      <c r="D282" s="18"/>
      <c r="E282" s="18"/>
      <c r="F282" s="18"/>
      <c r="G282" s="18"/>
      <c r="H282" s="18"/>
      <c r="I282" s="61"/>
      <c r="J282" s="68"/>
      <c r="K282" s="68"/>
      <c r="L282" s="68"/>
      <c r="M282" s="68"/>
      <c r="N282" s="68"/>
      <c r="O282" s="18"/>
      <c r="P282" s="18"/>
      <c r="Q282" s="61">
        <f>SUM(C277:H281)/(R282*2)</f>
        <v>1</v>
      </c>
      <c r="R282" s="62">
        <f>SUM(R277:R281)</f>
        <v>4</v>
      </c>
    </row>
    <row r="283" spans="1:19" s="6" customFormat="1" ht="15.75" thickBot="1" x14ac:dyDescent="0.3">
      <c r="A283" s="70"/>
      <c r="B283" s="9"/>
      <c r="C283" s="18"/>
      <c r="I283" s="4"/>
      <c r="J283" s="69"/>
      <c r="K283" s="69"/>
      <c r="L283" s="69"/>
      <c r="M283" s="69"/>
      <c r="N283" s="69"/>
      <c r="Q283" s="4"/>
      <c r="R283" s="53"/>
      <c r="S283" s="45"/>
    </row>
    <row r="284" spans="1:19" s="6" customFormat="1" ht="13.5" thickBot="1" x14ac:dyDescent="0.25">
      <c r="A284" s="82">
        <v>36</v>
      </c>
      <c r="B284" s="81"/>
      <c r="C284" s="78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80"/>
      <c r="Q284" s="26"/>
      <c r="R284" s="62">
        <f>COUNTIF(J284:P284,"&gt;1")</f>
        <v>0</v>
      </c>
      <c r="S284" s="46"/>
    </row>
    <row r="285" spans="1:19" s="6" customFormat="1" ht="15" x14ac:dyDescent="0.25">
      <c r="A285" s="83">
        <v>36</v>
      </c>
      <c r="B285" s="94"/>
      <c r="C285" s="77">
        <v>2</v>
      </c>
      <c r="D285" s="25"/>
      <c r="E285" s="25"/>
      <c r="F285" s="25"/>
      <c r="G285" s="25"/>
      <c r="H285" s="76"/>
      <c r="I285" s="28">
        <f>AVERAGE(C285:H285)/2</f>
        <v>1</v>
      </c>
      <c r="J285" s="66"/>
      <c r="K285" s="66"/>
      <c r="L285" s="66"/>
      <c r="M285" s="66"/>
      <c r="N285" s="66"/>
      <c r="O285" s="25"/>
      <c r="P285" s="25"/>
      <c r="Q285" s="28"/>
      <c r="R285" s="62">
        <f>COUNTIF(C285:H285,"&gt;1")</f>
        <v>1</v>
      </c>
      <c r="S285" s="46"/>
    </row>
    <row r="286" spans="1:19" s="6" customFormat="1" ht="15" x14ac:dyDescent="0.25">
      <c r="A286" s="83">
        <v>36</v>
      </c>
      <c r="B286" s="95"/>
      <c r="C286" s="24">
        <v>2</v>
      </c>
      <c r="D286" s="58"/>
      <c r="E286" s="58"/>
      <c r="F286" s="58"/>
      <c r="G286" s="58"/>
      <c r="H286" s="43"/>
      <c r="I286" s="28">
        <f t="shared" ref="I286:I289" si="102">AVERAGE(C286:H286)/2</f>
        <v>1</v>
      </c>
      <c r="J286" s="67"/>
      <c r="K286" s="67"/>
      <c r="L286" s="67"/>
      <c r="M286" s="67"/>
      <c r="N286" s="67"/>
      <c r="O286" s="58"/>
      <c r="P286" s="58"/>
      <c r="Q286" s="28"/>
      <c r="R286" s="62">
        <f t="shared" ref="R286:R289" si="103">COUNTIF(C286:H286,"&gt;1")</f>
        <v>1</v>
      </c>
      <c r="S286" s="46"/>
    </row>
    <row r="287" spans="1:19" s="6" customFormat="1" ht="15" x14ac:dyDescent="0.25">
      <c r="A287" s="83">
        <v>36</v>
      </c>
      <c r="B287" s="95"/>
      <c r="C287" s="24">
        <v>2</v>
      </c>
      <c r="D287" s="58"/>
      <c r="E287" s="58"/>
      <c r="F287" s="58"/>
      <c r="G287" s="58"/>
      <c r="H287" s="43"/>
      <c r="I287" s="28">
        <f t="shared" si="102"/>
        <v>1</v>
      </c>
      <c r="J287" s="67"/>
      <c r="K287" s="67"/>
      <c r="L287" s="67"/>
      <c r="M287" s="67"/>
      <c r="N287" s="67"/>
      <c r="O287" s="58"/>
      <c r="P287" s="58"/>
      <c r="Q287" s="28"/>
      <c r="R287" s="62">
        <f t="shared" si="103"/>
        <v>1</v>
      </c>
      <c r="S287" s="8"/>
    </row>
    <row r="288" spans="1:19" s="6" customFormat="1" ht="15" x14ac:dyDescent="0.25">
      <c r="A288" s="83">
        <v>36</v>
      </c>
      <c r="B288" s="95"/>
      <c r="C288" s="24">
        <v>2</v>
      </c>
      <c r="D288" s="58"/>
      <c r="E288" s="58"/>
      <c r="F288" s="58"/>
      <c r="G288" s="58"/>
      <c r="H288" s="43"/>
      <c r="I288" s="28">
        <f t="shared" si="102"/>
        <v>1</v>
      </c>
      <c r="J288" s="67"/>
      <c r="K288" s="67"/>
      <c r="L288" s="67"/>
      <c r="M288" s="67"/>
      <c r="N288" s="67"/>
      <c r="O288" s="58"/>
      <c r="P288" s="58"/>
      <c r="Q288" s="28"/>
      <c r="R288" s="62">
        <f t="shared" si="103"/>
        <v>1</v>
      </c>
    </row>
    <row r="289" spans="1:18" s="6" customFormat="1" ht="15.75" thickBot="1" x14ac:dyDescent="0.3">
      <c r="A289" s="84">
        <v>36</v>
      </c>
      <c r="B289" s="90" t="s">
        <v>16</v>
      </c>
      <c r="C289" s="75">
        <v>0</v>
      </c>
      <c r="D289" s="13"/>
      <c r="E289" s="13"/>
      <c r="F289" s="13"/>
      <c r="G289" s="13"/>
      <c r="H289" s="44"/>
      <c r="I289" s="28">
        <f t="shared" si="102"/>
        <v>0</v>
      </c>
      <c r="J289" s="67"/>
      <c r="K289" s="67"/>
      <c r="L289" s="67"/>
      <c r="M289" s="67"/>
      <c r="N289" s="67"/>
      <c r="O289" s="58"/>
      <c r="P289" s="58"/>
      <c r="Q289" s="28"/>
      <c r="R289" s="62">
        <f t="shared" si="103"/>
        <v>0</v>
      </c>
    </row>
    <row r="290" spans="1:18" s="6" customFormat="1" x14ac:dyDescent="0.2">
      <c r="A290" s="70"/>
      <c r="B290" s="11"/>
      <c r="C290" s="18"/>
      <c r="D290" s="18"/>
      <c r="E290" s="18"/>
      <c r="F290" s="18"/>
      <c r="G290" s="18"/>
      <c r="H290" s="18"/>
      <c r="I290" s="61"/>
      <c r="J290" s="68"/>
      <c r="K290" s="68"/>
      <c r="L290" s="68"/>
      <c r="M290" s="68"/>
      <c r="N290" s="68"/>
      <c r="O290" s="18"/>
      <c r="P290" s="18"/>
      <c r="Q290" s="61">
        <f>SUM(C285:H289)/(R290*2)</f>
        <v>1</v>
      </c>
      <c r="R290" s="62">
        <f>SUM(R285:R289)</f>
        <v>4</v>
      </c>
    </row>
    <row r="291" spans="1:18" s="6" customFormat="1" ht="13.5" thickBot="1" x14ac:dyDescent="0.25">
      <c r="A291" s="70"/>
      <c r="B291" s="11"/>
      <c r="C291" s="18"/>
      <c r="I291" s="4"/>
      <c r="J291" s="69"/>
      <c r="K291" s="69"/>
      <c r="L291" s="69"/>
      <c r="M291" s="69"/>
      <c r="N291" s="69"/>
      <c r="Q291" s="4"/>
      <c r="R291" s="53"/>
    </row>
    <row r="292" spans="1:18" s="6" customFormat="1" ht="13.5" thickBot="1" x14ac:dyDescent="0.25">
      <c r="A292" s="82">
        <v>37</v>
      </c>
      <c r="B292" s="81"/>
      <c r="C292" s="78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80"/>
      <c r="Q292" s="26"/>
      <c r="R292" s="53"/>
    </row>
    <row r="293" spans="1:18" s="6" customFormat="1" ht="15" x14ac:dyDescent="0.25">
      <c r="A293" s="83">
        <v>37</v>
      </c>
      <c r="B293" s="94"/>
      <c r="C293" s="77">
        <v>2</v>
      </c>
      <c r="D293" s="25"/>
      <c r="E293" s="25"/>
      <c r="F293" s="25"/>
      <c r="G293" s="25"/>
      <c r="H293" s="76"/>
      <c r="I293" s="28">
        <f>AVERAGE(C293:H293)/2</f>
        <v>1</v>
      </c>
      <c r="J293" s="66"/>
      <c r="K293" s="66"/>
      <c r="L293" s="66"/>
      <c r="M293" s="66"/>
      <c r="N293" s="66"/>
      <c r="O293" s="25"/>
      <c r="P293" s="25"/>
      <c r="Q293" s="28"/>
      <c r="R293" s="62">
        <f>COUNTIF(C293:H293,"&gt;1")</f>
        <v>1</v>
      </c>
    </row>
    <row r="294" spans="1:18" s="6" customFormat="1" ht="15" x14ac:dyDescent="0.25">
      <c r="A294" s="83">
        <v>37</v>
      </c>
      <c r="B294" s="95"/>
      <c r="C294" s="24">
        <v>2</v>
      </c>
      <c r="D294" s="58"/>
      <c r="E294" s="58"/>
      <c r="F294" s="58"/>
      <c r="G294" s="58"/>
      <c r="H294" s="43"/>
      <c r="I294" s="28">
        <f t="shared" ref="I294:I297" si="104">AVERAGE(C294:H294)/2</f>
        <v>1</v>
      </c>
      <c r="J294" s="67"/>
      <c r="K294" s="67"/>
      <c r="L294" s="67"/>
      <c r="M294" s="67"/>
      <c r="N294" s="67"/>
      <c r="O294" s="58"/>
      <c r="P294" s="58"/>
      <c r="Q294" s="28"/>
      <c r="R294" s="62">
        <f t="shared" ref="R294:R297" si="105">COUNTIF(C294:H294,"&gt;1")</f>
        <v>1</v>
      </c>
    </row>
    <row r="295" spans="1:18" s="6" customFormat="1" ht="15" x14ac:dyDescent="0.25">
      <c r="A295" s="83">
        <v>37</v>
      </c>
      <c r="B295" s="95"/>
      <c r="C295" s="24">
        <v>2</v>
      </c>
      <c r="D295" s="58"/>
      <c r="E295" s="58"/>
      <c r="F295" s="58"/>
      <c r="G295" s="58"/>
      <c r="H295" s="43"/>
      <c r="I295" s="28">
        <f t="shared" si="104"/>
        <v>1</v>
      </c>
      <c r="J295" s="67"/>
      <c r="K295" s="67"/>
      <c r="L295" s="67"/>
      <c r="M295" s="67"/>
      <c r="N295" s="67"/>
      <c r="O295" s="58"/>
      <c r="P295" s="58"/>
      <c r="Q295" s="28"/>
      <c r="R295" s="62">
        <f t="shared" si="105"/>
        <v>1</v>
      </c>
    </row>
    <row r="296" spans="1:18" s="6" customFormat="1" ht="15" x14ac:dyDescent="0.25">
      <c r="A296" s="83">
        <v>37</v>
      </c>
      <c r="B296" s="95"/>
      <c r="C296" s="24">
        <v>2</v>
      </c>
      <c r="D296" s="58"/>
      <c r="E296" s="58"/>
      <c r="F296" s="58"/>
      <c r="G296" s="58"/>
      <c r="H296" s="43"/>
      <c r="I296" s="28">
        <f t="shared" si="104"/>
        <v>1</v>
      </c>
      <c r="J296" s="67"/>
      <c r="K296" s="67"/>
      <c r="L296" s="67"/>
      <c r="M296" s="67"/>
      <c r="N296" s="67"/>
      <c r="O296" s="58"/>
      <c r="P296" s="58"/>
      <c r="Q296" s="28"/>
      <c r="R296" s="62">
        <f t="shared" si="105"/>
        <v>1</v>
      </c>
    </row>
    <row r="297" spans="1:18" s="6" customFormat="1" ht="15.75" thickBot="1" x14ac:dyDescent="0.3">
      <c r="A297" s="84">
        <v>37</v>
      </c>
      <c r="B297" s="99" t="s">
        <v>29</v>
      </c>
      <c r="C297" s="75">
        <v>0</v>
      </c>
      <c r="D297" s="13"/>
      <c r="E297" s="13"/>
      <c r="F297" s="13"/>
      <c r="G297" s="13"/>
      <c r="H297" s="44"/>
      <c r="I297" s="28">
        <f t="shared" si="104"/>
        <v>0</v>
      </c>
      <c r="J297" s="67"/>
      <c r="K297" s="67"/>
      <c r="L297" s="67"/>
      <c r="M297" s="67"/>
      <c r="N297" s="67"/>
      <c r="O297" s="58"/>
      <c r="P297" s="58"/>
      <c r="Q297" s="28"/>
      <c r="R297" s="62">
        <f t="shared" si="105"/>
        <v>0</v>
      </c>
    </row>
    <row r="298" spans="1:18" s="6" customFormat="1" x14ac:dyDescent="0.2">
      <c r="A298" s="70"/>
      <c r="B298" s="71"/>
      <c r="C298" s="18"/>
      <c r="D298" s="18"/>
      <c r="E298" s="18"/>
      <c r="F298" s="18"/>
      <c r="G298" s="18"/>
      <c r="H298" s="18"/>
      <c r="I298" s="61"/>
      <c r="J298" s="68"/>
      <c r="K298" s="68"/>
      <c r="L298" s="68"/>
      <c r="M298" s="68"/>
      <c r="N298" s="68"/>
      <c r="O298" s="18"/>
      <c r="P298" s="18"/>
      <c r="Q298" s="61">
        <f>SUM(C293:H297)/(R298*2)</f>
        <v>1</v>
      </c>
      <c r="R298" s="62">
        <f>SUM(R293:R297)</f>
        <v>4</v>
      </c>
    </row>
    <row r="299" spans="1:18" s="6" customFormat="1" ht="13.5" thickBot="1" x14ac:dyDescent="0.25">
      <c r="A299" s="70"/>
      <c r="B299" s="71"/>
      <c r="C299" s="18"/>
      <c r="D299"/>
      <c r="E299"/>
      <c r="F299"/>
      <c r="G299"/>
      <c r="H299"/>
      <c r="I299" s="1"/>
      <c r="J299" s="41"/>
      <c r="K299" s="41"/>
      <c r="L299" s="41"/>
      <c r="M299" s="41"/>
      <c r="N299" s="41"/>
      <c r="O299"/>
      <c r="P299"/>
      <c r="Q299" s="1"/>
      <c r="R299" s="53"/>
    </row>
    <row r="300" spans="1:18" s="6" customFormat="1" ht="13.5" thickBot="1" x14ac:dyDescent="0.25">
      <c r="A300" s="82">
        <v>38</v>
      </c>
      <c r="B300" s="81"/>
      <c r="C300" s="78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80"/>
      <c r="Q300" s="26"/>
      <c r="R300" s="62">
        <f>COUNTIF(J300:P300,"&gt;1")</f>
        <v>0</v>
      </c>
    </row>
    <row r="301" spans="1:18" s="6" customFormat="1" ht="15" x14ac:dyDescent="0.25">
      <c r="A301" s="83">
        <v>38</v>
      </c>
      <c r="B301" s="96"/>
      <c r="C301" s="77">
        <v>2</v>
      </c>
      <c r="D301" s="25"/>
      <c r="E301" s="25"/>
      <c r="F301" s="25"/>
      <c r="G301" s="25"/>
      <c r="H301" s="76"/>
      <c r="I301" s="28">
        <f>AVERAGE(C301:H301)/2</f>
        <v>1</v>
      </c>
      <c r="J301" s="66"/>
      <c r="K301" s="66"/>
      <c r="L301" s="66"/>
      <c r="M301" s="66"/>
      <c r="N301" s="66"/>
      <c r="O301" s="25"/>
      <c r="P301" s="25"/>
      <c r="Q301" s="28"/>
      <c r="R301" s="62">
        <f>COUNTIF(C301:H301,"&gt;1")</f>
        <v>1</v>
      </c>
    </row>
    <row r="302" spans="1:18" s="6" customFormat="1" ht="15" x14ac:dyDescent="0.25">
      <c r="A302" s="83">
        <v>38</v>
      </c>
      <c r="B302" s="97"/>
      <c r="C302" s="24">
        <v>2</v>
      </c>
      <c r="D302" s="58"/>
      <c r="E302" s="58"/>
      <c r="F302" s="58"/>
      <c r="G302" s="58"/>
      <c r="H302" s="43"/>
      <c r="I302" s="28">
        <f t="shared" ref="I302:I305" si="106">AVERAGE(C302:H302)/2</f>
        <v>1</v>
      </c>
      <c r="J302" s="67"/>
      <c r="K302" s="67"/>
      <c r="L302" s="67"/>
      <c r="M302" s="67"/>
      <c r="N302" s="67"/>
      <c r="O302" s="58"/>
      <c r="P302" s="58"/>
      <c r="Q302" s="28"/>
      <c r="R302" s="62">
        <f t="shared" ref="R302:R305" si="107">COUNTIF(C302:H302,"&gt;1")</f>
        <v>1</v>
      </c>
    </row>
    <row r="303" spans="1:18" s="6" customFormat="1" ht="15" x14ac:dyDescent="0.25">
      <c r="A303" s="83">
        <v>38</v>
      </c>
      <c r="B303" s="97"/>
      <c r="C303" s="24">
        <v>2</v>
      </c>
      <c r="D303" s="58"/>
      <c r="E303" s="58"/>
      <c r="F303" s="58"/>
      <c r="G303" s="58"/>
      <c r="H303" s="43"/>
      <c r="I303" s="28">
        <f t="shared" si="106"/>
        <v>1</v>
      </c>
      <c r="J303" s="67"/>
      <c r="K303" s="67"/>
      <c r="L303" s="67"/>
      <c r="M303" s="67"/>
      <c r="N303" s="67"/>
      <c r="O303" s="58"/>
      <c r="P303" s="58"/>
      <c r="Q303" s="28"/>
      <c r="R303" s="62">
        <f t="shared" si="107"/>
        <v>1</v>
      </c>
    </row>
    <row r="304" spans="1:18" s="6" customFormat="1" ht="15" x14ac:dyDescent="0.25">
      <c r="A304" s="83">
        <v>38</v>
      </c>
      <c r="B304" s="89" t="s">
        <v>20</v>
      </c>
      <c r="C304" s="24">
        <v>2</v>
      </c>
      <c r="D304" s="58"/>
      <c r="E304" s="58"/>
      <c r="F304" s="58"/>
      <c r="G304" s="58"/>
      <c r="H304" s="43"/>
      <c r="I304" s="28">
        <f t="shared" si="106"/>
        <v>1</v>
      </c>
      <c r="J304" s="67"/>
      <c r="K304" s="67"/>
      <c r="L304" s="67"/>
      <c r="M304" s="67"/>
      <c r="N304" s="67"/>
      <c r="O304" s="58"/>
      <c r="P304" s="58"/>
      <c r="Q304" s="28"/>
      <c r="R304" s="62">
        <f t="shared" si="107"/>
        <v>1</v>
      </c>
    </row>
    <row r="305" spans="1:18" s="6" customFormat="1" ht="15.75" thickBot="1" x14ac:dyDescent="0.3">
      <c r="A305" s="84">
        <v>38</v>
      </c>
      <c r="B305" s="90" t="s">
        <v>16</v>
      </c>
      <c r="C305" s="75">
        <v>0</v>
      </c>
      <c r="D305" s="13"/>
      <c r="E305" s="13"/>
      <c r="F305" s="13"/>
      <c r="G305" s="13"/>
      <c r="H305" s="44"/>
      <c r="I305" s="28">
        <f t="shared" si="106"/>
        <v>0</v>
      </c>
      <c r="J305" s="67"/>
      <c r="K305" s="67"/>
      <c r="L305" s="67"/>
      <c r="M305" s="67"/>
      <c r="N305" s="67"/>
      <c r="O305" s="58"/>
      <c r="P305" s="58"/>
      <c r="Q305" s="28"/>
      <c r="R305" s="62">
        <f t="shared" si="107"/>
        <v>0</v>
      </c>
    </row>
    <row r="306" spans="1:18" s="6" customFormat="1" x14ac:dyDescent="0.2">
      <c r="A306" s="70"/>
      <c r="B306" s="71"/>
      <c r="C306" s="18"/>
      <c r="D306" s="18"/>
      <c r="E306" s="18"/>
      <c r="F306" s="18"/>
      <c r="G306" s="18"/>
      <c r="H306" s="18"/>
      <c r="I306" s="61"/>
      <c r="J306" s="68"/>
      <c r="K306" s="68"/>
      <c r="L306" s="68"/>
      <c r="M306" s="68"/>
      <c r="N306" s="68"/>
      <c r="O306" s="18"/>
      <c r="P306" s="18"/>
      <c r="Q306" s="61">
        <f>SUM(C301:H305)/(R306*2)</f>
        <v>1</v>
      </c>
      <c r="R306" s="62">
        <f>SUM(R301:R305)</f>
        <v>4</v>
      </c>
    </row>
    <row r="307" spans="1:18" s="6" customFormat="1" ht="13.5" thickBot="1" x14ac:dyDescent="0.25">
      <c r="A307" s="70"/>
      <c r="B307" s="71"/>
      <c r="C307" s="18"/>
      <c r="D307" s="18"/>
      <c r="E307" s="18"/>
      <c r="F307" s="18"/>
      <c r="G307" s="18"/>
      <c r="H307" s="18"/>
      <c r="I307" s="61"/>
      <c r="J307" s="68"/>
      <c r="K307" s="68"/>
      <c r="L307" s="68"/>
      <c r="M307" s="68"/>
      <c r="N307" s="68"/>
      <c r="O307" s="18"/>
      <c r="P307" s="18"/>
      <c r="Q307" s="61"/>
      <c r="R307" s="62"/>
    </row>
    <row r="308" spans="1:18" s="6" customFormat="1" ht="13.5" thickBot="1" x14ac:dyDescent="0.25">
      <c r="A308" s="82">
        <v>39</v>
      </c>
      <c r="B308" s="81"/>
      <c r="C308" s="78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80"/>
      <c r="Q308" s="26"/>
      <c r="R308" s="53"/>
    </row>
    <row r="309" spans="1:18" s="6" customFormat="1" ht="15" x14ac:dyDescent="0.25">
      <c r="A309" s="83">
        <v>39</v>
      </c>
      <c r="B309" s="88" t="s">
        <v>17</v>
      </c>
      <c r="C309" s="77">
        <v>2</v>
      </c>
      <c r="D309" s="25"/>
      <c r="E309" s="25"/>
      <c r="F309" s="25"/>
      <c r="G309" s="25"/>
      <c r="H309" s="76"/>
      <c r="I309" s="28">
        <f>AVERAGE(C309:H309)/2</f>
        <v>1</v>
      </c>
      <c r="J309" s="66"/>
      <c r="K309" s="66"/>
      <c r="L309" s="66"/>
      <c r="M309" s="66"/>
      <c r="N309" s="66"/>
      <c r="O309" s="25"/>
      <c r="P309" s="25"/>
      <c r="Q309" s="28"/>
      <c r="R309" s="62">
        <f>COUNTIF(C309:H309,"&gt;1")</f>
        <v>1</v>
      </c>
    </row>
    <row r="310" spans="1:18" s="6" customFormat="1" ht="15" x14ac:dyDescent="0.25">
      <c r="A310" s="83">
        <v>39</v>
      </c>
      <c r="B310" s="89" t="s">
        <v>18</v>
      </c>
      <c r="C310" s="24">
        <v>2</v>
      </c>
      <c r="D310" s="58"/>
      <c r="E310" s="58"/>
      <c r="F310" s="58"/>
      <c r="G310" s="58"/>
      <c r="H310" s="43"/>
      <c r="I310" s="28">
        <f t="shared" ref="I310:I313" si="108">AVERAGE(C310:H310)/2</f>
        <v>1</v>
      </c>
      <c r="J310" s="67"/>
      <c r="K310" s="67"/>
      <c r="L310" s="67"/>
      <c r="M310" s="67"/>
      <c r="N310" s="67"/>
      <c r="O310" s="58"/>
      <c r="P310" s="58"/>
      <c r="Q310" s="28"/>
      <c r="R310" s="62">
        <f t="shared" ref="R310:R313" si="109">COUNTIF(C310:H310,"&gt;1")</f>
        <v>1</v>
      </c>
    </row>
    <row r="311" spans="1:18" s="6" customFormat="1" ht="15" x14ac:dyDescent="0.25">
      <c r="A311" s="83">
        <v>39</v>
      </c>
      <c r="B311" s="89" t="s">
        <v>19</v>
      </c>
      <c r="C311" s="24">
        <v>2</v>
      </c>
      <c r="D311" s="58"/>
      <c r="E311" s="58"/>
      <c r="F311" s="58"/>
      <c r="G311" s="58"/>
      <c r="H311" s="43"/>
      <c r="I311" s="28">
        <f t="shared" si="108"/>
        <v>1</v>
      </c>
      <c r="J311" s="67"/>
      <c r="K311" s="67"/>
      <c r="L311" s="67"/>
      <c r="M311" s="67"/>
      <c r="N311" s="67"/>
      <c r="O311" s="58"/>
      <c r="P311" s="58"/>
      <c r="Q311" s="28"/>
      <c r="R311" s="62">
        <f t="shared" si="109"/>
        <v>1</v>
      </c>
    </row>
    <row r="312" spans="1:18" s="6" customFormat="1" ht="15" x14ac:dyDescent="0.25">
      <c r="A312" s="83">
        <v>39</v>
      </c>
      <c r="B312" s="89" t="s">
        <v>20</v>
      </c>
      <c r="C312" s="24">
        <v>2</v>
      </c>
      <c r="D312" s="58"/>
      <c r="E312" s="58"/>
      <c r="F312" s="58"/>
      <c r="G312" s="58"/>
      <c r="H312" s="43"/>
      <c r="I312" s="28">
        <f t="shared" si="108"/>
        <v>1</v>
      </c>
      <c r="J312" s="67"/>
      <c r="K312" s="67"/>
      <c r="L312" s="67"/>
      <c r="M312" s="67"/>
      <c r="N312" s="67"/>
      <c r="O312" s="58"/>
      <c r="P312" s="58"/>
      <c r="Q312" s="28"/>
      <c r="R312" s="62">
        <f t="shared" si="109"/>
        <v>1</v>
      </c>
    </row>
    <row r="313" spans="1:18" s="6" customFormat="1" ht="15.75" thickBot="1" x14ac:dyDescent="0.3">
      <c r="A313" s="84">
        <v>39</v>
      </c>
      <c r="B313" s="90" t="s">
        <v>16</v>
      </c>
      <c r="C313" s="75">
        <v>0</v>
      </c>
      <c r="D313" s="13"/>
      <c r="E313" s="13"/>
      <c r="F313" s="13"/>
      <c r="G313" s="13"/>
      <c r="H313" s="44"/>
      <c r="I313" s="28">
        <f t="shared" si="108"/>
        <v>0</v>
      </c>
      <c r="J313" s="67"/>
      <c r="K313" s="67"/>
      <c r="L313" s="67"/>
      <c r="M313" s="67"/>
      <c r="N313" s="67"/>
      <c r="O313" s="58"/>
      <c r="P313" s="58"/>
      <c r="Q313" s="28"/>
      <c r="R313" s="62">
        <f t="shared" si="109"/>
        <v>0</v>
      </c>
    </row>
    <row r="314" spans="1:18" s="6" customFormat="1" x14ac:dyDescent="0.2">
      <c r="A314" s="70"/>
      <c r="B314" s="71"/>
      <c r="C314" s="18"/>
      <c r="D314" s="18"/>
      <c r="E314" s="18"/>
      <c r="F314" s="18"/>
      <c r="G314" s="18"/>
      <c r="H314" s="18"/>
      <c r="I314" s="61"/>
      <c r="J314" s="68"/>
      <c r="K314" s="68"/>
      <c r="L314" s="68"/>
      <c r="M314" s="68"/>
      <c r="N314" s="68"/>
      <c r="O314" s="18"/>
      <c r="P314" s="18"/>
      <c r="Q314" s="61">
        <f>SUM(C309:H313)/(R314*2)</f>
        <v>1</v>
      </c>
      <c r="R314" s="62">
        <f>SUM(R309:R313)</f>
        <v>4</v>
      </c>
    </row>
    <row r="315" spans="1:18" s="6" customFormat="1" ht="13.5" thickBot="1" x14ac:dyDescent="0.25">
      <c r="A315" s="72"/>
      <c r="B315" s="73"/>
      <c r="C315"/>
      <c r="D315"/>
      <c r="E315"/>
      <c r="F315"/>
      <c r="G315"/>
      <c r="H315"/>
      <c r="I315" s="1"/>
      <c r="J315" s="41"/>
      <c r="K315" s="41"/>
      <c r="L315" s="41"/>
      <c r="M315" s="41"/>
      <c r="N315" s="41"/>
      <c r="O315"/>
      <c r="P315"/>
      <c r="Q315" s="1"/>
      <c r="R315" s="53"/>
    </row>
    <row r="316" spans="1:18" s="6" customFormat="1" ht="13.5" thickBot="1" x14ac:dyDescent="0.25">
      <c r="A316" s="82">
        <v>40</v>
      </c>
      <c r="B316" s="81"/>
      <c r="C316" s="78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80"/>
      <c r="Q316" s="26"/>
      <c r="R316" s="53"/>
    </row>
    <row r="317" spans="1:18" s="6" customFormat="1" ht="15" x14ac:dyDescent="0.25">
      <c r="A317" s="83">
        <v>40</v>
      </c>
      <c r="B317" s="88" t="s">
        <v>17</v>
      </c>
      <c r="C317" s="77">
        <v>2</v>
      </c>
      <c r="D317" s="25"/>
      <c r="E317" s="25"/>
      <c r="F317" s="25"/>
      <c r="G317" s="25"/>
      <c r="H317" s="76"/>
      <c r="I317" s="28">
        <f>AVERAGE(C317:H317)/2</f>
        <v>1</v>
      </c>
      <c r="J317" s="66"/>
      <c r="K317" s="66"/>
      <c r="L317" s="66"/>
      <c r="M317" s="66"/>
      <c r="N317" s="66"/>
      <c r="O317" s="25"/>
      <c r="P317" s="25"/>
      <c r="Q317" s="28"/>
      <c r="R317" s="62">
        <f>COUNTIF(C317:H317,"&gt;1")</f>
        <v>1</v>
      </c>
    </row>
    <row r="318" spans="1:18" s="6" customFormat="1" ht="15" x14ac:dyDescent="0.25">
      <c r="A318" s="83">
        <v>40</v>
      </c>
      <c r="B318" s="89" t="s">
        <v>18</v>
      </c>
      <c r="C318" s="24">
        <v>2</v>
      </c>
      <c r="D318" s="58"/>
      <c r="E318" s="58"/>
      <c r="F318" s="58"/>
      <c r="G318" s="58"/>
      <c r="H318" s="43"/>
      <c r="I318" s="28">
        <f t="shared" ref="I318:I321" si="110">AVERAGE(C318:H318)/2</f>
        <v>1</v>
      </c>
      <c r="J318" s="67"/>
      <c r="K318" s="67"/>
      <c r="L318" s="67"/>
      <c r="M318" s="67"/>
      <c r="N318" s="67"/>
      <c r="O318" s="58"/>
      <c r="P318" s="58"/>
      <c r="Q318" s="28"/>
      <c r="R318" s="62">
        <f t="shared" ref="R318:R321" si="111">COUNTIF(C318:H318,"&gt;1")</f>
        <v>1</v>
      </c>
    </row>
    <row r="319" spans="1:18" s="6" customFormat="1" ht="15" x14ac:dyDescent="0.25">
      <c r="A319" s="83">
        <v>40</v>
      </c>
      <c r="B319" s="89" t="s">
        <v>19</v>
      </c>
      <c r="C319" s="24">
        <v>2</v>
      </c>
      <c r="D319" s="58"/>
      <c r="E319" s="58"/>
      <c r="F319" s="58"/>
      <c r="G319" s="58"/>
      <c r="H319" s="43"/>
      <c r="I319" s="28">
        <f t="shared" si="110"/>
        <v>1</v>
      </c>
      <c r="J319" s="67"/>
      <c r="K319" s="67"/>
      <c r="L319" s="67"/>
      <c r="M319" s="67"/>
      <c r="N319" s="67"/>
      <c r="O319" s="58"/>
      <c r="P319" s="58"/>
      <c r="Q319" s="28"/>
      <c r="R319" s="62">
        <f t="shared" si="111"/>
        <v>1</v>
      </c>
    </row>
    <row r="320" spans="1:18" s="6" customFormat="1" ht="15" x14ac:dyDescent="0.25">
      <c r="A320" s="83">
        <v>40</v>
      </c>
      <c r="B320" s="89" t="s">
        <v>20</v>
      </c>
      <c r="C320" s="24">
        <v>2</v>
      </c>
      <c r="D320" s="58"/>
      <c r="E320" s="58"/>
      <c r="F320" s="58"/>
      <c r="G320" s="58"/>
      <c r="H320" s="43"/>
      <c r="I320" s="28">
        <f t="shared" si="110"/>
        <v>1</v>
      </c>
      <c r="J320" s="67"/>
      <c r="K320" s="67"/>
      <c r="L320" s="67"/>
      <c r="M320" s="67"/>
      <c r="N320" s="67"/>
      <c r="O320" s="58"/>
      <c r="P320" s="58"/>
      <c r="Q320" s="28"/>
      <c r="R320" s="62">
        <f t="shared" si="111"/>
        <v>1</v>
      </c>
    </row>
    <row r="321" spans="1:18" s="6" customFormat="1" ht="15.75" thickBot="1" x14ac:dyDescent="0.3">
      <c r="A321" s="84">
        <v>40</v>
      </c>
      <c r="B321" s="90" t="s">
        <v>16</v>
      </c>
      <c r="C321" s="75">
        <v>0</v>
      </c>
      <c r="D321" s="13"/>
      <c r="E321" s="13"/>
      <c r="F321" s="13"/>
      <c r="G321" s="13"/>
      <c r="H321" s="44"/>
      <c r="I321" s="28">
        <f t="shared" si="110"/>
        <v>0</v>
      </c>
      <c r="J321" s="67"/>
      <c r="K321" s="67"/>
      <c r="L321" s="67"/>
      <c r="M321" s="67"/>
      <c r="N321" s="67"/>
      <c r="O321" s="58"/>
      <c r="P321" s="58"/>
      <c r="Q321" s="28"/>
      <c r="R321" s="62">
        <f t="shared" si="111"/>
        <v>0</v>
      </c>
    </row>
    <row r="322" spans="1:18" s="6" customFormat="1" x14ac:dyDescent="0.2">
      <c r="A322" s="70"/>
      <c r="B322" s="71"/>
      <c r="C322" s="18"/>
      <c r="D322" s="18"/>
      <c r="E322" s="18"/>
      <c r="F322" s="18"/>
      <c r="G322" s="18"/>
      <c r="H322" s="18"/>
      <c r="I322" s="61"/>
      <c r="J322" s="68"/>
      <c r="K322" s="68"/>
      <c r="L322" s="68"/>
      <c r="M322" s="68"/>
      <c r="N322" s="68"/>
      <c r="O322" s="18"/>
      <c r="P322" s="18"/>
      <c r="Q322" s="61">
        <f>SUM(C317:H321)/(R322*2)</f>
        <v>1</v>
      </c>
      <c r="R322" s="62">
        <f>SUM(R317:R321)</f>
        <v>4</v>
      </c>
    </row>
    <row r="323" spans="1:18" s="6" customFormat="1" x14ac:dyDescent="0.2">
      <c r="A323" s="70"/>
      <c r="B323" s="71"/>
      <c r="C323" s="18"/>
      <c r="D323"/>
      <c r="E323"/>
      <c r="F323"/>
      <c r="G323"/>
      <c r="H323"/>
      <c r="I323" s="1"/>
      <c r="J323" s="41"/>
      <c r="K323" s="41"/>
      <c r="L323" s="41"/>
      <c r="M323" s="41"/>
      <c r="N323" s="41"/>
      <c r="O323"/>
      <c r="P323"/>
      <c r="Q323" s="4"/>
      <c r="R323" s="53"/>
    </row>
  </sheetData>
  <mergeCells count="1">
    <mergeCell ref="A1:Q1"/>
  </mergeCells>
  <phoneticPr fontId="0" type="noConversion"/>
  <pageMargins left="0.74803149606299213" right="0.74803149606299213" top="0.98425196850393704" bottom="0.98425196850393704" header="0" footer="0"/>
  <pageSetup paperSize="9" scale="200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5"/>
  <sheetViews>
    <sheetView topLeftCell="A79" workbookViewId="0">
      <selection activeCell="D203" sqref="B6:D203"/>
    </sheetView>
  </sheetViews>
  <sheetFormatPr defaultRowHeight="18" x14ac:dyDescent="0.25"/>
  <cols>
    <col min="1" max="1" width="5.28515625" style="10" bestFit="1" customWidth="1"/>
    <col min="2" max="2" width="6.42578125" style="2" bestFit="1" customWidth="1"/>
    <col min="3" max="3" width="26.140625" style="54" bestFit="1" customWidth="1"/>
    <col min="4" max="4" width="21.85546875" style="2" customWidth="1"/>
  </cols>
  <sheetData>
    <row r="1" spans="1:4" ht="12.75" customHeight="1" x14ac:dyDescent="0.25"/>
    <row r="2" spans="1:4" ht="24" thickBot="1" x14ac:dyDescent="0.4">
      <c r="A2" s="172" t="s">
        <v>8</v>
      </c>
      <c r="B2" s="172"/>
      <c r="C2" s="172"/>
      <c r="D2" s="172"/>
    </row>
    <row r="3" spans="1:4" ht="24" thickBot="1" x14ac:dyDescent="0.4">
      <c r="A3" s="169" t="str">
        <f>Hold!A1</f>
        <v>Firma Bowlingturnering 2023</v>
      </c>
      <c r="B3" s="170"/>
      <c r="C3" s="170"/>
      <c r="D3" s="171"/>
    </row>
    <row r="4" spans="1:4" ht="18.75" thickBot="1" x14ac:dyDescent="0.3">
      <c r="A4" s="21"/>
      <c r="B4" s="173"/>
      <c r="C4" s="173"/>
      <c r="D4" s="173"/>
    </row>
    <row r="5" spans="1:4" ht="16.5" thickBot="1" x14ac:dyDescent="0.3">
      <c r="A5" s="19" t="s">
        <v>2</v>
      </c>
      <c r="B5" s="20" t="s">
        <v>3</v>
      </c>
      <c r="C5" s="55" t="s">
        <v>4</v>
      </c>
      <c r="D5" s="56" t="s">
        <v>5</v>
      </c>
    </row>
    <row r="6" spans="1:4" ht="15.75" x14ac:dyDescent="0.25">
      <c r="A6" s="17">
        <v>1</v>
      </c>
      <c r="B6" s="17">
        <f>Hold!A144</f>
        <v>18</v>
      </c>
      <c r="C6" s="60" t="str">
        <f>Hold!B144</f>
        <v>Birger</v>
      </c>
      <c r="D6" s="63">
        <f>Hold!Q144</f>
        <v>181.8</v>
      </c>
    </row>
    <row r="7" spans="1:4" ht="15.75" x14ac:dyDescent="0.25">
      <c r="A7" s="17">
        <v>2</v>
      </c>
      <c r="B7" s="59">
        <f>Hold!A23</f>
        <v>3</v>
      </c>
      <c r="C7" s="60" t="str">
        <f>Hold!B23</f>
        <v>Birger k</v>
      </c>
      <c r="D7" s="63">
        <f>Hold!Q23</f>
        <v>174.5</v>
      </c>
    </row>
    <row r="8" spans="1:4" ht="15.75" x14ac:dyDescent="0.25">
      <c r="A8" s="17">
        <v>3</v>
      </c>
      <c r="B8" s="59">
        <f>Hold!A24</f>
        <v>3</v>
      </c>
      <c r="C8" s="60" t="str">
        <f>Hold!B24</f>
        <v>Matz</v>
      </c>
      <c r="D8" s="63">
        <f>Hold!Q24</f>
        <v>167.41666666666666</v>
      </c>
    </row>
    <row r="9" spans="1:4" ht="15.75" x14ac:dyDescent="0.25">
      <c r="A9" s="59">
        <v>4</v>
      </c>
      <c r="B9" s="59">
        <f>Hold!A197</f>
        <v>25</v>
      </c>
      <c r="C9" s="60" t="str">
        <f>Hold!B197</f>
        <v>Jackie</v>
      </c>
      <c r="D9" s="63">
        <f>Hold!Q197</f>
        <v>166.91666666666666</v>
      </c>
    </row>
    <row r="10" spans="1:4" ht="15.75" x14ac:dyDescent="0.25">
      <c r="A10" s="59">
        <v>5</v>
      </c>
      <c r="B10" s="59">
        <f>Hold!A198</f>
        <v>25</v>
      </c>
      <c r="C10" s="60" t="str">
        <f>Hold!B198</f>
        <v>Carsten</v>
      </c>
      <c r="D10" s="63">
        <f>Hold!Q198</f>
        <v>163.66666666666666</v>
      </c>
    </row>
    <row r="11" spans="1:4" ht="15.75" x14ac:dyDescent="0.25">
      <c r="A11" s="59">
        <v>6</v>
      </c>
      <c r="B11" s="59">
        <f>Hold!A199</f>
        <v>25</v>
      </c>
      <c r="C11" s="60" t="str">
        <f>Hold!B199</f>
        <v>Jan</v>
      </c>
      <c r="D11" s="63">
        <f>Hold!Q199</f>
        <v>161.08333333333334</v>
      </c>
    </row>
    <row r="12" spans="1:4" ht="15.75" x14ac:dyDescent="0.25">
      <c r="A12" s="59">
        <v>7</v>
      </c>
      <c r="B12" s="59">
        <f>Hold!A94</f>
        <v>12</v>
      </c>
      <c r="C12" s="60" t="str">
        <f>Hold!B94</f>
        <v>Egon</v>
      </c>
      <c r="D12" s="63">
        <f>Hold!Q94</f>
        <v>159.16666666666666</v>
      </c>
    </row>
    <row r="13" spans="1:4" ht="15.75" x14ac:dyDescent="0.25">
      <c r="A13" s="59">
        <v>8</v>
      </c>
      <c r="B13" s="59">
        <f>Hold!A6</f>
        <v>1</v>
      </c>
      <c r="C13" s="60" t="str">
        <f>Hold!B6</f>
        <v>Flemming</v>
      </c>
      <c r="D13" s="63">
        <f>Hold!Q6</f>
        <v>151</v>
      </c>
    </row>
    <row r="14" spans="1:4" ht="15.75" x14ac:dyDescent="0.25">
      <c r="A14" s="59">
        <v>9</v>
      </c>
      <c r="B14" s="59">
        <f>Hold!A88</f>
        <v>11</v>
      </c>
      <c r="C14" s="60" t="str">
        <f>Hold!B88</f>
        <v>Ole</v>
      </c>
      <c r="D14" s="63">
        <f>Hold!Q88</f>
        <v>148.91666666666666</v>
      </c>
    </row>
    <row r="15" spans="1:4" ht="15.75" x14ac:dyDescent="0.25">
      <c r="A15" s="59">
        <v>10</v>
      </c>
      <c r="B15" s="59">
        <f>Hold!A101</f>
        <v>13</v>
      </c>
      <c r="C15" s="60" t="str">
        <f>Hold!B101</f>
        <v>Heidi</v>
      </c>
      <c r="D15" s="63">
        <f>Hold!Q101</f>
        <v>146.33333333333334</v>
      </c>
    </row>
    <row r="16" spans="1:4" ht="15.75" x14ac:dyDescent="0.25">
      <c r="A16" s="59">
        <v>11</v>
      </c>
      <c r="B16" s="59">
        <f>Hold!A5</f>
        <v>1</v>
      </c>
      <c r="C16" s="60" t="str">
        <f>Hold!B5</f>
        <v>Allan</v>
      </c>
      <c r="D16" s="63">
        <f>Hold!Q5</f>
        <v>144.69999999999999</v>
      </c>
    </row>
    <row r="17" spans="1:4" ht="15.75" x14ac:dyDescent="0.25">
      <c r="A17" s="59">
        <v>12</v>
      </c>
      <c r="B17" s="59">
        <f>Hold!A119</f>
        <v>15</v>
      </c>
      <c r="C17" s="60" t="str">
        <f>Hold!B119</f>
        <v>Alex</v>
      </c>
      <c r="D17" s="63">
        <f>Hold!Q119</f>
        <v>144.5</v>
      </c>
    </row>
    <row r="18" spans="1:4" ht="15.75" x14ac:dyDescent="0.25">
      <c r="A18" s="59">
        <v>13</v>
      </c>
      <c r="B18" s="59">
        <f>Hold!A63</f>
        <v>8</v>
      </c>
      <c r="C18" s="60" t="str">
        <f>Hold!B63</f>
        <v>Maane</v>
      </c>
      <c r="D18" s="63">
        <f>Hold!Q63</f>
        <v>144.25</v>
      </c>
    </row>
    <row r="19" spans="1:4" ht="15.75" x14ac:dyDescent="0.25">
      <c r="A19" s="59">
        <v>14</v>
      </c>
      <c r="B19" s="59">
        <f>Hold!A64</f>
        <v>8</v>
      </c>
      <c r="C19" s="60" t="str">
        <f>Hold!B64</f>
        <v>Kim</v>
      </c>
      <c r="D19" s="63">
        <f>Hold!Q64</f>
        <v>143.16666666666666</v>
      </c>
    </row>
    <row r="20" spans="1:4" ht="15.75" x14ac:dyDescent="0.25">
      <c r="A20" s="59">
        <v>15</v>
      </c>
      <c r="B20" s="59">
        <f>Hold!A62</f>
        <v>8</v>
      </c>
      <c r="C20" s="60" t="str">
        <f>Hold!B62</f>
        <v>Allan</v>
      </c>
      <c r="D20" s="63">
        <f>Hold!Q62</f>
        <v>142.25</v>
      </c>
    </row>
    <row r="21" spans="1:4" ht="15.75" x14ac:dyDescent="0.25">
      <c r="A21" s="59">
        <v>16</v>
      </c>
      <c r="B21" s="59">
        <f>Hold!A47</f>
        <v>6</v>
      </c>
      <c r="C21" s="60" t="str">
        <f>Hold!B47</f>
        <v>Torkild</v>
      </c>
      <c r="D21" s="63">
        <f>Hold!Q47</f>
        <v>141.33333333333334</v>
      </c>
    </row>
    <row r="22" spans="1:4" ht="15.75" x14ac:dyDescent="0.25">
      <c r="A22" s="59">
        <v>17</v>
      </c>
      <c r="B22" s="59">
        <f>Hold!A143</f>
        <v>18</v>
      </c>
      <c r="C22" s="60" t="str">
        <f>Hold!B143</f>
        <v>Jesper</v>
      </c>
      <c r="D22" s="63">
        <f>Hold!Q143</f>
        <v>140.5</v>
      </c>
    </row>
    <row r="23" spans="1:4" ht="15.75" x14ac:dyDescent="0.25">
      <c r="A23" s="59">
        <v>18</v>
      </c>
      <c r="B23" s="59">
        <f>Hold!A177</f>
        <v>22</v>
      </c>
      <c r="C23" s="60" t="str">
        <f>Hold!B177</f>
        <v>otto</v>
      </c>
      <c r="D23" s="63">
        <f>Hold!Q177</f>
        <v>139.80000000000001</v>
      </c>
    </row>
    <row r="24" spans="1:4" ht="15.75" x14ac:dyDescent="0.25">
      <c r="A24" s="59">
        <v>19</v>
      </c>
      <c r="B24" s="59">
        <f>Hold!A102</f>
        <v>13</v>
      </c>
      <c r="C24" s="60" t="str">
        <f>Hold!B102</f>
        <v>Ilse</v>
      </c>
      <c r="D24" s="63">
        <f>Hold!Q102</f>
        <v>139.66666666666666</v>
      </c>
    </row>
    <row r="25" spans="1:4" ht="15.75" x14ac:dyDescent="0.25">
      <c r="A25" s="59">
        <v>20</v>
      </c>
      <c r="B25" s="59">
        <f>Hold!A45</f>
        <v>6</v>
      </c>
      <c r="C25" s="60" t="str">
        <f>Hold!B45</f>
        <v>Per</v>
      </c>
      <c r="D25" s="63">
        <f>Hold!Q45</f>
        <v>139.25</v>
      </c>
    </row>
    <row r="26" spans="1:4" ht="15.75" x14ac:dyDescent="0.25">
      <c r="A26" s="59">
        <v>21</v>
      </c>
      <c r="B26" s="59">
        <f>Hold!A111</f>
        <v>14</v>
      </c>
      <c r="C26" s="60" t="str">
        <f>Hold!B111</f>
        <v>Tommy</v>
      </c>
      <c r="D26" s="63">
        <f>Hold!Q111</f>
        <v>139.08333333333334</v>
      </c>
    </row>
    <row r="27" spans="1:4" ht="15.75" x14ac:dyDescent="0.25">
      <c r="A27" s="59">
        <v>22</v>
      </c>
      <c r="B27" s="59">
        <f>Hold!A25</f>
        <v>3</v>
      </c>
      <c r="C27" s="60" t="str">
        <f>Hold!B25</f>
        <v>Michael</v>
      </c>
      <c r="D27" s="63">
        <f>Hold!Q25</f>
        <v>138.5</v>
      </c>
    </row>
    <row r="28" spans="1:4" ht="15.75" x14ac:dyDescent="0.25">
      <c r="A28" s="59">
        <v>23</v>
      </c>
      <c r="B28" s="59">
        <f>Hold!A7</f>
        <v>1</v>
      </c>
      <c r="C28" s="60" t="str">
        <f>Hold!B7</f>
        <v>Jan</v>
      </c>
      <c r="D28" s="63">
        <f>Hold!Q7</f>
        <v>137.625</v>
      </c>
    </row>
    <row r="29" spans="1:4" ht="15.75" x14ac:dyDescent="0.25">
      <c r="A29" s="59">
        <v>24</v>
      </c>
      <c r="B29" s="59">
        <f>Hold!A95</f>
        <v>12</v>
      </c>
      <c r="C29" s="60" t="str">
        <f>Hold!B95</f>
        <v>Finn</v>
      </c>
      <c r="D29" s="63">
        <f>Hold!Q95</f>
        <v>137.5</v>
      </c>
    </row>
    <row r="30" spans="1:4" ht="15.75" x14ac:dyDescent="0.25">
      <c r="A30" s="59">
        <v>25</v>
      </c>
      <c r="B30" s="59">
        <f>Hold!A39</f>
        <v>5</v>
      </c>
      <c r="C30" s="60" t="str">
        <f>Hold!B39</f>
        <v>Klaus</v>
      </c>
      <c r="D30" s="63">
        <f>Hold!Q39</f>
        <v>136.83333333333334</v>
      </c>
    </row>
    <row r="31" spans="1:4" ht="15.75" x14ac:dyDescent="0.25">
      <c r="A31" s="59">
        <v>26</v>
      </c>
      <c r="B31" s="59">
        <f>Hold!A134</f>
        <v>17</v>
      </c>
      <c r="C31" s="60" t="str">
        <f>Hold!B134</f>
        <v>Thomas</v>
      </c>
      <c r="D31" s="63">
        <f>Hold!Q134</f>
        <v>136.16666666666666</v>
      </c>
    </row>
    <row r="32" spans="1:4" ht="15.75" x14ac:dyDescent="0.25">
      <c r="A32" s="59">
        <v>27</v>
      </c>
      <c r="B32" s="59">
        <f>Hold!A142</f>
        <v>18</v>
      </c>
      <c r="C32" s="60" t="str">
        <f>Hold!B142</f>
        <v>Jan</v>
      </c>
      <c r="D32" s="63">
        <f>Hold!Q142</f>
        <v>135.5</v>
      </c>
    </row>
    <row r="33" spans="1:4" ht="15.75" x14ac:dyDescent="0.25">
      <c r="A33" s="59">
        <v>28</v>
      </c>
      <c r="B33" s="59">
        <f>Hold!A93</f>
        <v>12</v>
      </c>
      <c r="C33" s="60" t="str">
        <f>Hold!B93</f>
        <v>Finn Erik</v>
      </c>
      <c r="D33" s="63">
        <f>Hold!Q93</f>
        <v>134.66666666666666</v>
      </c>
    </row>
    <row r="34" spans="1:4" ht="15.75" x14ac:dyDescent="0.25">
      <c r="A34" s="59">
        <v>29</v>
      </c>
      <c r="B34" s="59">
        <f>Hold!A9</f>
        <v>1</v>
      </c>
      <c r="C34" s="60" t="str">
        <f>Hold!B9</f>
        <v>Lene</v>
      </c>
      <c r="D34" s="63">
        <f>Hold!Q9</f>
        <v>131.75</v>
      </c>
    </row>
    <row r="35" spans="1:4" ht="15.75" x14ac:dyDescent="0.25">
      <c r="A35" s="59">
        <v>30</v>
      </c>
      <c r="B35" s="59">
        <f>Hold!A79</f>
        <v>10</v>
      </c>
      <c r="C35" s="60" t="str">
        <f>Hold!B79</f>
        <v>Henrik S</v>
      </c>
      <c r="D35" s="63">
        <f>Hold!Q79</f>
        <v>131.25</v>
      </c>
    </row>
    <row r="36" spans="1:4" ht="15.75" x14ac:dyDescent="0.25">
      <c r="A36" s="59">
        <v>31</v>
      </c>
      <c r="B36" s="59">
        <f>Hold!A166</f>
        <v>21</v>
      </c>
      <c r="C36" s="60" t="str">
        <f>Hold!B166</f>
        <v>Jesper</v>
      </c>
      <c r="D36" s="63">
        <f>Hold!Q166</f>
        <v>130.80000000000001</v>
      </c>
    </row>
    <row r="37" spans="1:4" ht="15.75" x14ac:dyDescent="0.25">
      <c r="A37" s="59">
        <v>32</v>
      </c>
      <c r="B37" s="59">
        <f>Hold!A69</f>
        <v>9</v>
      </c>
      <c r="C37" s="60" t="str">
        <f>Hold!B69</f>
        <v>Jens Ole</v>
      </c>
      <c r="D37" s="63">
        <f>Hold!Q69</f>
        <v>130.16666666666666</v>
      </c>
    </row>
    <row r="38" spans="1:4" ht="15.75" x14ac:dyDescent="0.25">
      <c r="A38" s="59">
        <v>33</v>
      </c>
      <c r="B38" s="59">
        <f>Hold!A61</f>
        <v>8</v>
      </c>
      <c r="C38" s="60" t="str">
        <f>Hold!B61</f>
        <v>Oliver</v>
      </c>
      <c r="D38" s="63">
        <f>Hold!Q61</f>
        <v>129.91666666666666</v>
      </c>
    </row>
    <row r="39" spans="1:4" ht="15.75" x14ac:dyDescent="0.25">
      <c r="A39" s="59">
        <v>34</v>
      </c>
      <c r="B39" s="59">
        <f>Hold!A125</f>
        <v>16</v>
      </c>
      <c r="C39" s="60" t="str">
        <f>Hold!B125</f>
        <v>Herluf</v>
      </c>
      <c r="D39" s="63">
        <f>Hold!Q125</f>
        <v>129.75</v>
      </c>
    </row>
    <row r="40" spans="1:4" ht="15.75" x14ac:dyDescent="0.25">
      <c r="A40" s="59">
        <v>35</v>
      </c>
      <c r="B40" s="59">
        <f>Hold!A21</f>
        <v>3</v>
      </c>
      <c r="C40" s="60" t="str">
        <f>Hold!B21</f>
        <v>Carsten</v>
      </c>
      <c r="D40" s="63">
        <f>Hold!Q21</f>
        <v>129.75</v>
      </c>
    </row>
    <row r="41" spans="1:4" ht="15.75" x14ac:dyDescent="0.25">
      <c r="A41" s="59">
        <v>36</v>
      </c>
      <c r="B41" s="59">
        <f>Hold!A85</f>
        <v>11</v>
      </c>
      <c r="C41" s="60" t="str">
        <f>Hold!B85</f>
        <v>Per</v>
      </c>
      <c r="D41" s="63">
        <f>Hold!Q85</f>
        <v>128.41666666666666</v>
      </c>
    </row>
    <row r="42" spans="1:4" ht="15.75" x14ac:dyDescent="0.25">
      <c r="A42" s="59">
        <v>37</v>
      </c>
      <c r="B42" s="59">
        <f>Hold!A104</f>
        <v>13</v>
      </c>
      <c r="C42" s="60" t="str">
        <f>Hold!B104</f>
        <v>Pia</v>
      </c>
      <c r="D42" s="63">
        <f>Hold!Q104</f>
        <v>128.16666666666666</v>
      </c>
    </row>
    <row r="43" spans="1:4" ht="15.75" x14ac:dyDescent="0.25">
      <c r="A43" s="59">
        <v>38</v>
      </c>
      <c r="B43" s="59">
        <f>Hold!A181</f>
        <v>23</v>
      </c>
      <c r="C43" s="60" t="str">
        <f>Hold!B181</f>
        <v>Bjarke/Dan</v>
      </c>
      <c r="D43" s="63">
        <f>Hold!Q181</f>
        <v>128</v>
      </c>
    </row>
    <row r="44" spans="1:4" ht="15.75" x14ac:dyDescent="0.25">
      <c r="A44" s="59">
        <v>39</v>
      </c>
      <c r="B44" s="59">
        <f>Hold!A109</f>
        <v>14</v>
      </c>
      <c r="C44" s="60" t="str">
        <f>Hold!B109</f>
        <v>Torben</v>
      </c>
      <c r="D44" s="63">
        <f>Hold!Q109</f>
        <v>127.08333333333333</v>
      </c>
    </row>
    <row r="45" spans="1:4" ht="15.75" x14ac:dyDescent="0.25">
      <c r="A45" s="59">
        <v>40</v>
      </c>
      <c r="B45" s="59">
        <f>Hold!A141</f>
        <v>18</v>
      </c>
      <c r="C45" s="60" t="str">
        <f>Hold!B141</f>
        <v>Helga</v>
      </c>
      <c r="D45" s="63">
        <f>Hold!Q141</f>
        <v>126.8</v>
      </c>
    </row>
    <row r="46" spans="1:4" ht="15.75" x14ac:dyDescent="0.25">
      <c r="A46" s="59">
        <v>41</v>
      </c>
      <c r="B46" s="59">
        <f>Hold!A176</f>
        <v>22</v>
      </c>
      <c r="C46" s="60" t="str">
        <f>Hold!B176</f>
        <v>Frank</v>
      </c>
      <c r="D46" s="63">
        <f>Hold!Q176</f>
        <v>126.66666666666667</v>
      </c>
    </row>
    <row r="47" spans="1:4" ht="15.75" x14ac:dyDescent="0.25">
      <c r="A47" s="59">
        <v>42</v>
      </c>
      <c r="B47" s="59">
        <f>Hold!A53</f>
        <v>7</v>
      </c>
      <c r="C47" s="60" t="str">
        <f>Hold!B53</f>
        <v>Stefan</v>
      </c>
      <c r="D47" s="63">
        <f>Hold!Q53</f>
        <v>126.66666666666667</v>
      </c>
    </row>
    <row r="48" spans="1:4" ht="15.75" x14ac:dyDescent="0.25">
      <c r="A48" s="59">
        <v>43</v>
      </c>
      <c r="B48" s="59">
        <f>Hold!A54</f>
        <v>7</v>
      </c>
      <c r="C48" s="60" t="str">
        <f>Hold!B54</f>
        <v>Mogens</v>
      </c>
      <c r="D48" s="63">
        <f>Hold!Q54</f>
        <v>126.66666666666667</v>
      </c>
    </row>
    <row r="49" spans="1:4" ht="15.75" x14ac:dyDescent="0.25">
      <c r="A49" s="59">
        <v>44</v>
      </c>
      <c r="B49" s="59">
        <f>Hold!A161</f>
        <v>20</v>
      </c>
      <c r="C49" s="60" t="str">
        <f>Hold!B161</f>
        <v>Lone</v>
      </c>
      <c r="D49" s="63">
        <f>Hold!Q161</f>
        <v>125.75</v>
      </c>
    </row>
    <row r="50" spans="1:4" ht="15.75" x14ac:dyDescent="0.25">
      <c r="A50" s="59">
        <v>45</v>
      </c>
      <c r="B50" s="59">
        <f>Hold!A38</f>
        <v>5</v>
      </c>
      <c r="C50" s="60" t="str">
        <f>Hold!B38</f>
        <v>pernille</v>
      </c>
      <c r="D50" s="63">
        <f>Hold!Q38</f>
        <v>125.41666666666667</v>
      </c>
    </row>
    <row r="51" spans="1:4" ht="15.75" x14ac:dyDescent="0.25">
      <c r="A51" s="59">
        <v>46</v>
      </c>
      <c r="B51" s="59">
        <f>Hold!A175</f>
        <v>22</v>
      </c>
      <c r="C51" s="60" t="str">
        <f>Hold!B175</f>
        <v>Frank</v>
      </c>
      <c r="D51" s="63">
        <f>Hold!Q175</f>
        <v>124</v>
      </c>
    </row>
    <row r="52" spans="1:4" ht="15.75" x14ac:dyDescent="0.25">
      <c r="A52" s="59">
        <v>47</v>
      </c>
      <c r="B52" s="59">
        <f>Hold!A127</f>
        <v>16</v>
      </c>
      <c r="C52" s="60" t="str">
        <f>Hold!B127</f>
        <v>Tina</v>
      </c>
      <c r="D52" s="63">
        <f>Hold!Q127</f>
        <v>123.91666666666667</v>
      </c>
    </row>
    <row r="53" spans="1:4" ht="15.75" x14ac:dyDescent="0.25">
      <c r="A53" s="59">
        <v>48</v>
      </c>
      <c r="B53" s="59">
        <f>Hold!A71</f>
        <v>9</v>
      </c>
      <c r="C53" s="60" t="str">
        <f>Hold!B71</f>
        <v>Finn</v>
      </c>
      <c r="D53" s="63">
        <f>Hold!Q71</f>
        <v>123.66666666666667</v>
      </c>
    </row>
    <row r="54" spans="1:4" ht="15.75" x14ac:dyDescent="0.25">
      <c r="A54" s="59">
        <v>49</v>
      </c>
      <c r="B54" s="59">
        <f>Hold!A96</f>
        <v>12</v>
      </c>
      <c r="C54" s="60" t="str">
        <f>Hold!B96</f>
        <v>Bitten</v>
      </c>
      <c r="D54" s="63">
        <f>Hold!Q96</f>
        <v>123.66666666666667</v>
      </c>
    </row>
    <row r="55" spans="1:4" ht="15.75" x14ac:dyDescent="0.25">
      <c r="A55" s="59">
        <v>50</v>
      </c>
      <c r="B55" s="59">
        <f>Hold!A70</f>
        <v>9</v>
      </c>
      <c r="C55" s="60" t="str">
        <f>Hold!B70</f>
        <v>Lauge</v>
      </c>
      <c r="D55" s="63">
        <f>Hold!Q70</f>
        <v>123.41666666666667</v>
      </c>
    </row>
    <row r="56" spans="1:4" ht="15.75" x14ac:dyDescent="0.25">
      <c r="A56" s="59">
        <v>51</v>
      </c>
      <c r="B56" s="59">
        <f>Hold!A103</f>
        <v>13</v>
      </c>
      <c r="C56" s="60" t="str">
        <f>Hold!B103</f>
        <v>Birgitte</v>
      </c>
      <c r="D56" s="63">
        <f>Hold!Q103</f>
        <v>123.1</v>
      </c>
    </row>
    <row r="57" spans="1:4" ht="15.75" x14ac:dyDescent="0.25">
      <c r="A57" s="59">
        <v>52</v>
      </c>
      <c r="B57" s="59">
        <f>Hold!A112</f>
        <v>14</v>
      </c>
      <c r="C57" s="60" t="str">
        <f>Hold!B112</f>
        <v>Ivan</v>
      </c>
      <c r="D57" s="63">
        <f>Hold!Q112</f>
        <v>123.08333333333333</v>
      </c>
    </row>
    <row r="58" spans="1:4" ht="15.75" x14ac:dyDescent="0.25">
      <c r="A58" s="59">
        <v>53</v>
      </c>
      <c r="B58" s="59">
        <f>Hold!A87</f>
        <v>11</v>
      </c>
      <c r="C58" s="60" t="str">
        <f>Hold!B87</f>
        <v>Jan</v>
      </c>
      <c r="D58" s="63">
        <f>Hold!Q87</f>
        <v>122.91666666666667</v>
      </c>
    </row>
    <row r="59" spans="1:4" ht="15.75" x14ac:dyDescent="0.25">
      <c r="A59" s="59">
        <v>54</v>
      </c>
      <c r="B59" s="59">
        <f>Hold!A169</f>
        <v>21</v>
      </c>
      <c r="C59" s="60" t="str">
        <f>Hold!B169</f>
        <v>Dan/ Bjarke</v>
      </c>
      <c r="D59" s="63">
        <f>Hold!Q169</f>
        <v>122.9</v>
      </c>
    </row>
    <row r="60" spans="1:4" ht="15.75" x14ac:dyDescent="0.25">
      <c r="A60" s="59">
        <v>55</v>
      </c>
      <c r="B60" s="59">
        <f>Hold!A86</f>
        <v>11</v>
      </c>
      <c r="C60" s="60" t="str">
        <f>Hold!B86</f>
        <v>Erol</v>
      </c>
      <c r="D60" s="63">
        <f>Hold!Q86</f>
        <v>122.58333333333333</v>
      </c>
    </row>
    <row r="61" spans="1:4" ht="15.75" x14ac:dyDescent="0.25">
      <c r="A61" s="59">
        <v>56</v>
      </c>
      <c r="B61" s="59">
        <f>Hold!A185</f>
        <v>23</v>
      </c>
      <c r="C61" s="60" t="str">
        <f>Hold!B185</f>
        <v>reserve</v>
      </c>
      <c r="D61" s="63">
        <f>Hold!Q185</f>
        <v>122</v>
      </c>
    </row>
    <row r="62" spans="1:4" ht="15.75" x14ac:dyDescent="0.25">
      <c r="A62" s="59">
        <v>57</v>
      </c>
      <c r="B62" s="59">
        <f>Hold!A118</f>
        <v>15</v>
      </c>
      <c r="C62" s="60" t="str">
        <f>Hold!B118</f>
        <v>PC</v>
      </c>
      <c r="D62" s="63">
        <f>Hold!Q118</f>
        <v>121.89999999999999</v>
      </c>
    </row>
    <row r="63" spans="1:4" ht="15.75" x14ac:dyDescent="0.25">
      <c r="A63" s="59">
        <v>58</v>
      </c>
      <c r="B63" s="59">
        <f>Hold!A238</f>
        <v>30</v>
      </c>
      <c r="C63" s="60" t="str">
        <f>Hold!B238</f>
        <v>Patrick</v>
      </c>
      <c r="D63" s="63">
        <f>Hold!Q238</f>
        <v>121.41666666666667</v>
      </c>
    </row>
    <row r="64" spans="1:4" ht="15.75" x14ac:dyDescent="0.25">
      <c r="A64" s="59">
        <v>59</v>
      </c>
      <c r="B64" s="59">
        <f>Hold!A29</f>
        <v>4</v>
      </c>
      <c r="C64" s="60" t="str">
        <f>Hold!B29</f>
        <v>Jannik</v>
      </c>
      <c r="D64" s="63">
        <f>Hold!Q29</f>
        <v>121.25</v>
      </c>
    </row>
    <row r="65" spans="1:4" ht="15.75" x14ac:dyDescent="0.25">
      <c r="A65" s="59">
        <v>60</v>
      </c>
      <c r="B65" s="59">
        <f>Hold!A110</f>
        <v>14</v>
      </c>
      <c r="C65" s="60" t="str">
        <f>Hold!B110</f>
        <v>Holm</v>
      </c>
      <c r="D65" s="63">
        <f>Hold!Q110</f>
        <v>121.25</v>
      </c>
    </row>
    <row r="66" spans="1:4" ht="15.75" x14ac:dyDescent="0.25">
      <c r="A66" s="59">
        <v>61</v>
      </c>
      <c r="B66" s="59">
        <f>Hold!A48</f>
        <v>6</v>
      </c>
      <c r="C66" s="60" t="str">
        <f>Hold!B48</f>
        <v>Mark</v>
      </c>
      <c r="D66" s="63">
        <f>Hold!Q48</f>
        <v>120.41666666666667</v>
      </c>
    </row>
    <row r="67" spans="1:4" ht="15.75" x14ac:dyDescent="0.25">
      <c r="A67" s="59">
        <v>62</v>
      </c>
      <c r="B67" s="59">
        <f>Hold!A32</f>
        <v>4</v>
      </c>
      <c r="C67" s="60" t="str">
        <f>Hold!B32</f>
        <v>Jørn</v>
      </c>
      <c r="D67" s="63">
        <f>Hold!Q32</f>
        <v>119.75</v>
      </c>
    </row>
    <row r="68" spans="1:4" ht="15.75" x14ac:dyDescent="0.25">
      <c r="A68" s="59">
        <v>63</v>
      </c>
      <c r="B68" s="59">
        <f>Hold!A126</f>
        <v>16</v>
      </c>
      <c r="C68" s="60" t="str">
        <f>Hold!B126</f>
        <v>Birthe</v>
      </c>
      <c r="D68" s="63">
        <f>Hold!Q126</f>
        <v>119.58333333333333</v>
      </c>
    </row>
    <row r="69" spans="1:4" ht="15.75" x14ac:dyDescent="0.25">
      <c r="A69" s="59">
        <v>64</v>
      </c>
      <c r="B69" s="59">
        <f>Hold!A145</f>
        <v>18</v>
      </c>
      <c r="C69" s="60" t="str">
        <f>Hold!B145</f>
        <v>Mikki</v>
      </c>
      <c r="D69" s="63">
        <f>Hold!Q145</f>
        <v>119.2</v>
      </c>
    </row>
    <row r="70" spans="1:4" ht="15.75" x14ac:dyDescent="0.25">
      <c r="A70" s="59">
        <v>65</v>
      </c>
      <c r="B70" s="59">
        <f>Hold!A33</f>
        <v>4</v>
      </c>
      <c r="C70" s="60" t="str">
        <f>Hold!B33</f>
        <v>Torben</v>
      </c>
      <c r="D70" s="63">
        <f>Hold!Q33</f>
        <v>117.75</v>
      </c>
    </row>
    <row r="71" spans="1:4" ht="15.75" x14ac:dyDescent="0.25">
      <c r="A71" s="59">
        <v>66</v>
      </c>
      <c r="B71" s="59">
        <f>Hold!A207</f>
        <v>26</v>
      </c>
      <c r="C71" s="60" t="str">
        <f>Hold!B207</f>
        <v>Christine</v>
      </c>
      <c r="D71" s="63">
        <f>Hold!Q207</f>
        <v>117.66666666666667</v>
      </c>
    </row>
    <row r="72" spans="1:4" ht="15.75" x14ac:dyDescent="0.25">
      <c r="A72" s="59">
        <v>67</v>
      </c>
      <c r="B72" s="59">
        <f>Hold!A167</f>
        <v>21</v>
      </c>
      <c r="C72" s="60" t="str">
        <f>Hold!B167</f>
        <v>Drejer</v>
      </c>
      <c r="D72" s="63">
        <f>Hold!Q167</f>
        <v>117.5</v>
      </c>
    </row>
    <row r="73" spans="1:4" ht="15.75" x14ac:dyDescent="0.25">
      <c r="A73" s="59">
        <v>68</v>
      </c>
      <c r="B73" s="59">
        <f>Hold!A182</f>
        <v>23</v>
      </c>
      <c r="C73" s="60" t="str">
        <f>Hold!B182</f>
        <v>Silas/jesper</v>
      </c>
      <c r="D73" s="63">
        <f>Hold!Q182</f>
        <v>116.83333333333333</v>
      </c>
    </row>
    <row r="74" spans="1:4" ht="15.75" x14ac:dyDescent="0.25">
      <c r="A74" s="59">
        <v>69</v>
      </c>
      <c r="B74" s="59">
        <f>Hold!A120</f>
        <v>15</v>
      </c>
      <c r="C74" s="60" t="str">
        <f>Hold!B120</f>
        <v>Magnus</v>
      </c>
      <c r="D74" s="63">
        <f>Hold!Q120</f>
        <v>116</v>
      </c>
    </row>
    <row r="75" spans="1:4" ht="15.75" x14ac:dyDescent="0.25">
      <c r="A75" s="59">
        <v>70</v>
      </c>
      <c r="B75" s="59">
        <f>Hold!A248</f>
        <v>31</v>
      </c>
      <c r="C75" s="60" t="str">
        <f>Hold!B248</f>
        <v>Linette</v>
      </c>
      <c r="D75" s="63">
        <f>Hold!Q248</f>
        <v>113.41666666666667</v>
      </c>
    </row>
    <row r="76" spans="1:4" ht="15.75" x14ac:dyDescent="0.25">
      <c r="A76" s="59">
        <v>71</v>
      </c>
      <c r="B76" s="59">
        <f>Hold!A133</f>
        <v>17</v>
      </c>
      <c r="C76" s="60" t="str">
        <f>Hold!B133</f>
        <v>Kian</v>
      </c>
      <c r="D76" s="63">
        <f>Hold!Q133</f>
        <v>113.08333333333333</v>
      </c>
    </row>
    <row r="77" spans="1:4" ht="15.75" x14ac:dyDescent="0.25">
      <c r="A77" s="59">
        <v>72</v>
      </c>
      <c r="B77" s="59">
        <f>Hold!A174</f>
        <v>22</v>
      </c>
      <c r="C77" s="60" t="str">
        <f>Hold!B174</f>
        <v>Line</v>
      </c>
      <c r="D77" s="63">
        <f>Hold!Q174</f>
        <v>113</v>
      </c>
    </row>
    <row r="78" spans="1:4" ht="15.75" x14ac:dyDescent="0.25">
      <c r="A78" s="59">
        <v>73</v>
      </c>
      <c r="B78" s="59">
        <f>Hold!A117</f>
        <v>15</v>
      </c>
      <c r="C78" s="60" t="str">
        <f>Hold!B117</f>
        <v>Mike</v>
      </c>
      <c r="D78" s="63">
        <f>Hold!Q117</f>
        <v>112.2</v>
      </c>
    </row>
    <row r="79" spans="1:4" ht="15.75" x14ac:dyDescent="0.25">
      <c r="A79" s="59">
        <v>74</v>
      </c>
      <c r="B79" s="59">
        <f>Hold!A173</f>
        <v>22</v>
      </c>
      <c r="C79" s="60" t="str">
        <f>Hold!B173</f>
        <v>Benjamin</v>
      </c>
      <c r="D79" s="63">
        <f>Hold!Q173</f>
        <v>110.83333333333333</v>
      </c>
    </row>
    <row r="80" spans="1:4" ht="15.75" x14ac:dyDescent="0.25">
      <c r="A80" s="59">
        <v>75</v>
      </c>
      <c r="B80" s="59">
        <f>Hold!A237</f>
        <v>30</v>
      </c>
      <c r="C80" s="60" t="str">
        <f>Hold!B237</f>
        <v>Søren</v>
      </c>
      <c r="D80" s="63">
        <f>Hold!Q237</f>
        <v>110.375</v>
      </c>
    </row>
    <row r="81" spans="1:4" ht="15.75" x14ac:dyDescent="0.25">
      <c r="A81" s="59">
        <v>76</v>
      </c>
      <c r="B81" s="59">
        <f>Hold!A135</f>
        <v>17</v>
      </c>
      <c r="C81" s="60" t="str">
        <f>Hold!B135</f>
        <v>Hanne</v>
      </c>
      <c r="D81" s="63">
        <f>Hold!Q135</f>
        <v>109.41666666666667</v>
      </c>
    </row>
    <row r="82" spans="1:4" ht="15.75" x14ac:dyDescent="0.25">
      <c r="A82" s="59">
        <v>77</v>
      </c>
      <c r="B82" s="59">
        <f>Hold!A80</f>
        <v>10</v>
      </c>
      <c r="C82" s="60" t="str">
        <f>Hold!B80</f>
        <v>Niels L</v>
      </c>
      <c r="D82" s="63">
        <f>Hold!Q80</f>
        <v>109.08333333333333</v>
      </c>
    </row>
    <row r="83" spans="1:4" ht="15.75" x14ac:dyDescent="0.25">
      <c r="A83" s="59">
        <v>78</v>
      </c>
      <c r="B83" s="59">
        <f>Hold!A183</f>
        <v>23</v>
      </c>
      <c r="C83" s="60" t="str">
        <f>Hold!B183</f>
        <v>Nikolaj/Kenner</v>
      </c>
      <c r="D83" s="63">
        <f>Hold!Q183</f>
        <v>108.375</v>
      </c>
    </row>
    <row r="84" spans="1:4" ht="15.75" x14ac:dyDescent="0.25">
      <c r="A84" s="59">
        <v>79</v>
      </c>
      <c r="B84" s="59">
        <f>Hold!A239</f>
        <v>30</v>
      </c>
      <c r="C84" s="60" t="str">
        <f>Hold!B239</f>
        <v>Steen</v>
      </c>
      <c r="D84" s="63">
        <f>Hold!Q239</f>
        <v>106.83333333333333</v>
      </c>
    </row>
    <row r="85" spans="1:4" ht="15.75" x14ac:dyDescent="0.25">
      <c r="A85" s="59">
        <v>80</v>
      </c>
      <c r="B85" s="59">
        <f>Hold!A184</f>
        <v>23</v>
      </c>
      <c r="C85" s="60" t="str">
        <f>Hold!B184</f>
        <v>Drejer/Line</v>
      </c>
      <c r="D85" s="63">
        <f>Hold!Q184</f>
        <v>105.58333333333333</v>
      </c>
    </row>
    <row r="86" spans="1:4" ht="15.75" x14ac:dyDescent="0.25">
      <c r="A86" s="59">
        <v>81</v>
      </c>
      <c r="B86" s="59">
        <f>Hold!A77</f>
        <v>10</v>
      </c>
      <c r="C86" s="60" t="str">
        <f>Hold!B77</f>
        <v>Allan J</v>
      </c>
      <c r="D86" s="63">
        <f>Hold!Q77</f>
        <v>104.91666666666667</v>
      </c>
    </row>
    <row r="87" spans="1:4" ht="15.75" x14ac:dyDescent="0.25">
      <c r="A87" s="59">
        <v>82</v>
      </c>
      <c r="B87" s="59">
        <f>Hold!A150</f>
        <v>19</v>
      </c>
      <c r="C87" s="60" t="str">
        <f>Hold!B150</f>
        <v>Mette Lund-Hansen</v>
      </c>
      <c r="D87" s="63">
        <f>Hold!Q150</f>
        <v>104.91666666666667</v>
      </c>
    </row>
    <row r="88" spans="1:4" ht="15.75" x14ac:dyDescent="0.25">
      <c r="A88" s="59">
        <v>83</v>
      </c>
      <c r="B88" s="59">
        <f>Hold!A240</f>
        <v>30</v>
      </c>
      <c r="C88" s="60" t="str">
        <f>Hold!B240</f>
        <v>kris</v>
      </c>
      <c r="D88" s="63">
        <f>Hold!Q240</f>
        <v>101.3</v>
      </c>
    </row>
    <row r="89" spans="1:4" ht="15.75" x14ac:dyDescent="0.25">
      <c r="A89" s="59">
        <v>84</v>
      </c>
      <c r="B89" s="59">
        <f>Hold!A151</f>
        <v>19</v>
      </c>
      <c r="C89" s="60" t="str">
        <f>Hold!B151</f>
        <v>Ditte Poulsen</v>
      </c>
      <c r="D89" s="63">
        <f>Hold!Q151</f>
        <v>100.75</v>
      </c>
    </row>
    <row r="90" spans="1:4" ht="15.75" x14ac:dyDescent="0.25">
      <c r="A90" s="59">
        <v>85</v>
      </c>
      <c r="B90" s="59">
        <f>Hold!A206</f>
        <v>26</v>
      </c>
      <c r="C90" s="60" t="str">
        <f>Hold!B206</f>
        <v>Anita</v>
      </c>
      <c r="D90" s="63">
        <f>Hold!Q206</f>
        <v>100.3</v>
      </c>
    </row>
    <row r="91" spans="1:4" ht="15.75" x14ac:dyDescent="0.25">
      <c r="A91" s="59">
        <v>86</v>
      </c>
      <c r="B91" s="59">
        <f>Hold!A159</f>
        <v>20</v>
      </c>
      <c r="C91" s="60" t="str">
        <f>Hold!B159</f>
        <v>Tina Agger</v>
      </c>
      <c r="D91" s="63">
        <f>Hold!Q159</f>
        <v>100.125</v>
      </c>
    </row>
    <row r="92" spans="1:4" ht="15.75" x14ac:dyDescent="0.25">
      <c r="A92" s="59">
        <v>87</v>
      </c>
      <c r="B92" s="59">
        <f>Hold!A165</f>
        <v>21</v>
      </c>
      <c r="C92" s="60" t="str">
        <f>Hold!B165</f>
        <v>Steffen</v>
      </c>
      <c r="D92" s="63">
        <f>Hold!Q165</f>
        <v>97.1</v>
      </c>
    </row>
    <row r="93" spans="1:4" ht="15.75" x14ac:dyDescent="0.25">
      <c r="A93" s="59">
        <v>88</v>
      </c>
      <c r="B93" s="59">
        <f>Hold!A168</f>
        <v>21</v>
      </c>
      <c r="C93" s="60" t="str">
        <f>Hold!B168</f>
        <v>Linda</v>
      </c>
      <c r="D93" s="63">
        <f>Hold!Q168</f>
        <v>96.333333333333329</v>
      </c>
    </row>
    <row r="94" spans="1:4" ht="15.75" x14ac:dyDescent="0.25">
      <c r="A94" s="59">
        <v>89</v>
      </c>
      <c r="B94" s="59">
        <f>Hold!A55</f>
        <v>7</v>
      </c>
      <c r="C94" s="60" t="str">
        <f>Hold!B55</f>
        <v>Susanne</v>
      </c>
      <c r="D94" s="63">
        <f>Hold!Q55</f>
        <v>96</v>
      </c>
    </row>
    <row r="95" spans="1:4" ht="15.75" x14ac:dyDescent="0.25">
      <c r="A95" s="59">
        <v>90</v>
      </c>
      <c r="B95" s="59">
        <f>Hold!A263</f>
        <v>33</v>
      </c>
      <c r="C95" s="60" t="str">
        <f>Hold!B263</f>
        <v>Birgitte</v>
      </c>
      <c r="D95" s="63">
        <f>Hold!Q263</f>
        <v>94.583333333333329</v>
      </c>
    </row>
    <row r="96" spans="1:4" ht="15.75" x14ac:dyDescent="0.25">
      <c r="A96" s="59">
        <v>91</v>
      </c>
      <c r="B96" s="59">
        <f>Hold!A249</f>
        <v>31</v>
      </c>
      <c r="C96" s="60" t="str">
        <f>Hold!B249</f>
        <v>mathias</v>
      </c>
      <c r="D96" s="63">
        <f>Hold!Q249</f>
        <v>94.5</v>
      </c>
    </row>
    <row r="97" spans="1:4" ht="15.75" x14ac:dyDescent="0.25">
      <c r="A97" s="59">
        <v>92</v>
      </c>
      <c r="B97" s="59">
        <f>Hold!A157</f>
        <v>20</v>
      </c>
      <c r="C97" s="60" t="str">
        <f>Hold!B157</f>
        <v>Laila Engebriksen</v>
      </c>
      <c r="D97" s="63">
        <f>Hold!Q157</f>
        <v>94</v>
      </c>
    </row>
    <row r="98" spans="1:4" ht="15.75" x14ac:dyDescent="0.25">
      <c r="A98" s="59">
        <v>93</v>
      </c>
      <c r="B98" s="59">
        <f>Hold!A246</f>
        <v>31</v>
      </c>
      <c r="C98" s="60" t="str">
        <f>Hold!B246</f>
        <v>Kim</v>
      </c>
      <c r="D98" s="63">
        <f>Hold!Q246</f>
        <v>92.583333333333329</v>
      </c>
    </row>
    <row r="99" spans="1:4" ht="15.75" x14ac:dyDescent="0.25">
      <c r="A99" s="59">
        <v>94</v>
      </c>
      <c r="B99" s="59">
        <f>Hold!A160</f>
        <v>20</v>
      </c>
      <c r="C99" s="60" t="str">
        <f>Hold!B160</f>
        <v>Noëlle Larsen</v>
      </c>
      <c r="D99" s="63">
        <f>Hold!Q160</f>
        <v>92.333333333333329</v>
      </c>
    </row>
    <row r="100" spans="1:4" ht="15.75" x14ac:dyDescent="0.25">
      <c r="A100" s="59">
        <v>95</v>
      </c>
      <c r="B100" s="59">
        <f>Hold!A152</f>
        <v>19</v>
      </c>
      <c r="C100" s="60" t="str">
        <f>Hold!B152</f>
        <v>Simone Klausen</v>
      </c>
      <c r="D100" s="63">
        <f>Hold!Q152</f>
        <v>91.75</v>
      </c>
    </row>
    <row r="101" spans="1:4" ht="15.75" x14ac:dyDescent="0.25">
      <c r="A101" s="59">
        <v>96</v>
      </c>
      <c r="B101" s="59">
        <f>Hold!A149</f>
        <v>19</v>
      </c>
      <c r="C101" s="60" t="str">
        <f>Hold!B149</f>
        <v>Emilie Boye Jensen.</v>
      </c>
      <c r="D101" s="63">
        <f>Hold!Q149</f>
        <v>90.5</v>
      </c>
    </row>
    <row r="102" spans="1:4" ht="15.75" x14ac:dyDescent="0.25">
      <c r="A102" s="59">
        <v>97</v>
      </c>
      <c r="B102" s="59">
        <f>Hold!A205</f>
        <v>26</v>
      </c>
      <c r="C102" s="60" t="str">
        <f>Hold!B205</f>
        <v>Jeff</v>
      </c>
      <c r="D102" s="63">
        <f>Hold!Q205</f>
        <v>90.416666666666671</v>
      </c>
    </row>
    <row r="103" spans="1:4" ht="15.75" x14ac:dyDescent="0.25">
      <c r="A103" s="59">
        <v>98</v>
      </c>
      <c r="B103" s="59">
        <f>Hold!A247</f>
        <v>31</v>
      </c>
      <c r="C103" s="60" t="str">
        <f>Hold!B247</f>
        <v>Kris</v>
      </c>
      <c r="D103" s="63">
        <f>Hold!Q247</f>
        <v>87</v>
      </c>
    </row>
    <row r="104" spans="1:4" ht="15.75" x14ac:dyDescent="0.25">
      <c r="A104" s="59">
        <v>99</v>
      </c>
      <c r="B104" s="59">
        <f>Hold!A158</f>
        <v>20</v>
      </c>
      <c r="C104" s="60" t="str">
        <f>Hold!B158</f>
        <v xml:space="preserve">Britt-Marie Andersen </v>
      </c>
      <c r="D104" s="63">
        <f>Hold!Q158</f>
        <v>86.833333333333329</v>
      </c>
    </row>
    <row r="105" spans="1:4" ht="15.75" x14ac:dyDescent="0.25">
      <c r="A105" s="59">
        <v>100</v>
      </c>
      <c r="B105" s="59">
        <f>Hold!A209</f>
        <v>26</v>
      </c>
      <c r="C105" s="60" t="str">
        <f>Hold!B209</f>
        <v>reserve</v>
      </c>
      <c r="D105" s="63">
        <f>Hold!Q209</f>
        <v>86.5</v>
      </c>
    </row>
    <row r="106" spans="1:4" ht="15.75" x14ac:dyDescent="0.25">
      <c r="A106" s="59">
        <v>101</v>
      </c>
      <c r="B106" s="59">
        <f>Hold!A261</f>
        <v>33</v>
      </c>
      <c r="C106" s="60" t="str">
        <f>Hold!B261</f>
        <v>Trine</v>
      </c>
      <c r="D106" s="63">
        <f>Hold!Q261</f>
        <v>85</v>
      </c>
    </row>
    <row r="107" spans="1:4" ht="15.75" x14ac:dyDescent="0.25">
      <c r="A107" s="59">
        <v>102</v>
      </c>
      <c r="B107" s="59">
        <f>Hold!A37</f>
        <v>5</v>
      </c>
      <c r="C107" s="60" t="str">
        <f>Hold!B37</f>
        <v>Ana</v>
      </c>
      <c r="D107" s="63">
        <f>Hold!Q37</f>
        <v>80.5</v>
      </c>
    </row>
    <row r="108" spans="1:4" ht="15.75" x14ac:dyDescent="0.25">
      <c r="A108" s="59">
        <v>103</v>
      </c>
      <c r="B108" s="59">
        <f>Hold!A41</f>
        <v>5</v>
      </c>
      <c r="C108" s="60" t="str">
        <f>Hold!B41</f>
        <v>Mie</v>
      </c>
      <c r="D108" s="63">
        <f>Hold!Q41</f>
        <v>76.666666666666671</v>
      </c>
    </row>
    <row r="109" spans="1:4" ht="15.75" x14ac:dyDescent="0.25">
      <c r="A109" s="59">
        <v>104</v>
      </c>
      <c r="B109" s="59">
        <f>Hold!A265</f>
        <v>33</v>
      </c>
      <c r="C109" s="60" t="str">
        <f>Hold!B265</f>
        <v>Joanna</v>
      </c>
      <c r="D109" s="63">
        <f>Hold!Q265</f>
        <v>74.75</v>
      </c>
    </row>
    <row r="110" spans="1:4" ht="15.75" x14ac:dyDescent="0.25">
      <c r="A110" s="59">
        <v>105</v>
      </c>
      <c r="B110" s="59">
        <f>Hold!A264</f>
        <v>33</v>
      </c>
      <c r="C110" s="60" t="str">
        <f>Hold!B264</f>
        <v>Kristina</v>
      </c>
      <c r="D110" s="63">
        <f>Hold!Q264</f>
        <v>74.400000000000006</v>
      </c>
    </row>
    <row r="111" spans="1:4" ht="15.75" x14ac:dyDescent="0.25">
      <c r="A111" s="59">
        <v>106</v>
      </c>
      <c r="B111" s="59">
        <f>Hold!A208</f>
        <v>26</v>
      </c>
      <c r="C111" s="60" t="str">
        <f>Hold!B208</f>
        <v>Maria</v>
      </c>
      <c r="D111" s="63">
        <f>Hold!Q208</f>
        <v>73.2</v>
      </c>
    </row>
    <row r="112" spans="1:4" ht="15.75" x14ac:dyDescent="0.25">
      <c r="A112" s="59">
        <v>107</v>
      </c>
      <c r="B112" s="59">
        <f>Hold!A262</f>
        <v>33</v>
      </c>
      <c r="C112" s="60" t="str">
        <f>Hold!B262</f>
        <v>Kaya</v>
      </c>
      <c r="D112" s="63">
        <f>Hold!Q262</f>
        <v>70.583333333333329</v>
      </c>
    </row>
    <row r="113" spans="1:4" ht="15.75" x14ac:dyDescent="0.25">
      <c r="A113" s="59">
        <v>108</v>
      </c>
      <c r="B113" s="59">
        <f>Hold!A16</f>
        <v>2</v>
      </c>
      <c r="C113" s="60" t="str">
        <f>Hold!B16</f>
        <v>Mekael</v>
      </c>
      <c r="D113" s="63">
        <f>Hold!Q16</f>
        <v>1</v>
      </c>
    </row>
    <row r="114" spans="1:4" ht="15.75" x14ac:dyDescent="0.25">
      <c r="A114" s="59">
        <v>109</v>
      </c>
      <c r="B114" s="59">
        <f>Hold!A14</f>
        <v>2</v>
      </c>
      <c r="C114" s="60" t="str">
        <f>Hold!B14</f>
        <v>Duen</v>
      </c>
      <c r="D114" s="63">
        <f>Hold!Q14</f>
        <v>1</v>
      </c>
    </row>
    <row r="115" spans="1:4" ht="15.75" x14ac:dyDescent="0.25">
      <c r="A115" s="59">
        <v>110</v>
      </c>
      <c r="B115" s="59">
        <f>Hold!A13</f>
        <v>2</v>
      </c>
      <c r="C115" s="60" t="str">
        <f>Hold!B13</f>
        <v xml:space="preserve">Cheif </v>
      </c>
      <c r="D115" s="63">
        <f>Hold!Q13</f>
        <v>1</v>
      </c>
    </row>
    <row r="116" spans="1:4" ht="15.75" x14ac:dyDescent="0.25">
      <c r="A116" s="59">
        <v>111</v>
      </c>
      <c r="B116" s="59">
        <f>Hold!A15</f>
        <v>2</v>
      </c>
      <c r="C116" s="60" t="str">
        <f>Hold!B15</f>
        <v>Borby</v>
      </c>
      <c r="D116" s="63">
        <f>Hold!Q15</f>
        <v>1</v>
      </c>
    </row>
    <row r="117" spans="1:4" ht="15.75" x14ac:dyDescent="0.25">
      <c r="A117" s="59">
        <v>112</v>
      </c>
      <c r="B117" s="59">
        <f>Hold!A214</f>
        <v>27</v>
      </c>
      <c r="C117" s="60" t="str">
        <f>Hold!B214</f>
        <v>Birgitte</v>
      </c>
      <c r="D117" s="63">
        <f>Hold!Q214</f>
        <v>1</v>
      </c>
    </row>
    <row r="118" spans="1:4" ht="15.75" x14ac:dyDescent="0.25">
      <c r="A118" s="59">
        <v>113</v>
      </c>
      <c r="B118" s="59">
        <f>Hold!A231</f>
        <v>29</v>
      </c>
      <c r="C118" s="60" t="str">
        <f>Hold!B231</f>
        <v>Søren</v>
      </c>
      <c r="D118" s="63">
        <f>Hold!Q231</f>
        <v>1</v>
      </c>
    </row>
    <row r="119" spans="1:4" ht="15.75" x14ac:dyDescent="0.25">
      <c r="A119" s="59">
        <v>114</v>
      </c>
      <c r="B119" s="59">
        <f>Hold!A224</f>
        <v>28</v>
      </c>
      <c r="C119" s="60" t="str">
        <f>Hold!B224</f>
        <v>Luwam</v>
      </c>
      <c r="D119" s="63">
        <f>Hold!Q224</f>
        <v>1</v>
      </c>
    </row>
    <row r="120" spans="1:4" ht="15.75" x14ac:dyDescent="0.25">
      <c r="A120" s="59">
        <v>115</v>
      </c>
      <c r="B120" s="59">
        <f>Hold!A213</f>
        <v>27</v>
      </c>
      <c r="C120" s="60" t="str">
        <f>Hold!B213</f>
        <v>Torben</v>
      </c>
      <c r="D120" s="63">
        <f>Hold!Q213</f>
        <v>1</v>
      </c>
    </row>
    <row r="121" spans="1:4" ht="15.75" x14ac:dyDescent="0.25">
      <c r="A121" s="59">
        <v>116</v>
      </c>
      <c r="B121" s="59">
        <f>Hold!A229</f>
        <v>29</v>
      </c>
      <c r="C121" s="60" t="str">
        <f>Hold!B229</f>
        <v>Jeanette</v>
      </c>
      <c r="D121" s="63">
        <f>Hold!Q229</f>
        <v>1</v>
      </c>
    </row>
    <row r="122" spans="1:4" ht="15.75" x14ac:dyDescent="0.25">
      <c r="A122" s="59">
        <v>117</v>
      </c>
      <c r="B122" s="59">
        <f>Hold!A215</f>
        <v>27</v>
      </c>
      <c r="C122" s="60" t="str">
        <f>Hold!B215</f>
        <v>Berit</v>
      </c>
      <c r="D122" s="63">
        <f>Hold!Q215</f>
        <v>1</v>
      </c>
    </row>
    <row r="123" spans="1:4" ht="15.75" x14ac:dyDescent="0.25">
      <c r="A123" s="59">
        <v>118</v>
      </c>
      <c r="B123" s="59">
        <f>Hold!A221</f>
        <v>28</v>
      </c>
      <c r="C123" s="60" t="str">
        <f>Hold!B221</f>
        <v>Karin</v>
      </c>
      <c r="D123" s="63">
        <f>Hold!Q221</f>
        <v>1</v>
      </c>
    </row>
    <row r="124" spans="1:4" ht="15.75" x14ac:dyDescent="0.25">
      <c r="A124" s="59">
        <v>119</v>
      </c>
      <c r="B124" s="59">
        <f>Hold!A232</f>
        <v>29</v>
      </c>
      <c r="C124" s="60" t="str">
        <f>Hold!B232</f>
        <v>Anja</v>
      </c>
      <c r="D124" s="63">
        <f>Hold!Q232</f>
        <v>1</v>
      </c>
    </row>
    <row r="125" spans="1:4" ht="15.75" x14ac:dyDescent="0.25">
      <c r="A125" s="59">
        <v>120</v>
      </c>
      <c r="B125" s="59">
        <f>Hold!A216</f>
        <v>27</v>
      </c>
      <c r="C125" s="60" t="str">
        <f>Hold!B216</f>
        <v>Sandy</v>
      </c>
      <c r="D125" s="63">
        <f>Hold!Q216</f>
        <v>1</v>
      </c>
    </row>
    <row r="126" spans="1:4" ht="15.75" x14ac:dyDescent="0.25">
      <c r="A126" s="59">
        <v>121</v>
      </c>
      <c r="B126" s="59">
        <f>Hold!A223</f>
        <v>28</v>
      </c>
      <c r="C126" s="60" t="str">
        <f>Hold!B223</f>
        <v>Britt</v>
      </c>
      <c r="D126" s="63">
        <f>Hold!Q223</f>
        <v>1</v>
      </c>
    </row>
    <row r="127" spans="1:4" ht="15.75" x14ac:dyDescent="0.25">
      <c r="A127" s="59">
        <v>122</v>
      </c>
      <c r="B127" s="59">
        <f>Hold!A230</f>
        <v>29</v>
      </c>
      <c r="C127" s="60" t="str">
        <f>Hold!B230</f>
        <v>Lennert</v>
      </c>
      <c r="D127" s="63">
        <f>Hold!Q230</f>
        <v>1</v>
      </c>
    </row>
    <row r="128" spans="1:4" ht="15.75" x14ac:dyDescent="0.25">
      <c r="A128" s="59">
        <v>123</v>
      </c>
      <c r="B128" s="59">
        <f>Hold!A222</f>
        <v>28</v>
      </c>
      <c r="C128" s="60" t="str">
        <f>Hold!B222</f>
        <v>Nee / Anja</v>
      </c>
      <c r="D128" s="63">
        <f>Hold!Q222</f>
        <v>1</v>
      </c>
    </row>
    <row r="129" spans="1:4" ht="15.75" x14ac:dyDescent="0.25">
      <c r="A129" s="59">
        <v>124</v>
      </c>
      <c r="B129" s="59">
        <f>Hold!A245</f>
        <v>31</v>
      </c>
      <c r="C129" s="60" t="str">
        <f>Hold!B245</f>
        <v>Daniel</v>
      </c>
      <c r="D129" s="63">
        <f>Hold!Q245</f>
        <v>0</v>
      </c>
    </row>
    <row r="130" spans="1:4" ht="15.75" x14ac:dyDescent="0.25">
      <c r="A130" s="59">
        <v>125</v>
      </c>
      <c r="B130" s="59">
        <f>Hold!A128</f>
        <v>16</v>
      </c>
      <c r="C130" s="60">
        <f>Hold!B128</f>
        <v>0</v>
      </c>
      <c r="D130" s="63">
        <f>Hold!Q128</f>
        <v>0</v>
      </c>
    </row>
    <row r="131" spans="1:4" ht="15.75" x14ac:dyDescent="0.25">
      <c r="A131" s="59">
        <v>126</v>
      </c>
      <c r="B131" s="59">
        <f>Hold!A40</f>
        <v>5</v>
      </c>
      <c r="C131" s="60">
        <f>Hold!B40</f>
        <v>0</v>
      </c>
      <c r="D131" s="63">
        <f>Hold!Q40</f>
        <v>0</v>
      </c>
    </row>
    <row r="132" spans="1:4" ht="15.75" x14ac:dyDescent="0.25">
      <c r="A132" s="59">
        <v>127</v>
      </c>
      <c r="B132" s="59">
        <f>Hold!A31</f>
        <v>4</v>
      </c>
      <c r="C132" s="60" t="str">
        <f>Hold!B31</f>
        <v>per</v>
      </c>
      <c r="D132" s="63">
        <f>Hold!Q31</f>
        <v>0</v>
      </c>
    </row>
    <row r="133" spans="1:4" ht="15.75" x14ac:dyDescent="0.25">
      <c r="A133" s="59">
        <v>128</v>
      </c>
      <c r="B133" s="59">
        <f>Hold!A30</f>
        <v>4</v>
      </c>
      <c r="C133" s="60" t="str">
        <f>Hold!B30</f>
        <v xml:space="preserve">Mark Borby </v>
      </c>
      <c r="D133" s="63">
        <f>Hold!Q30</f>
        <v>0</v>
      </c>
    </row>
    <row r="134" spans="1:4" ht="15.75" x14ac:dyDescent="0.25">
      <c r="A134" s="59">
        <v>129</v>
      </c>
      <c r="B134" s="59">
        <f>Hold!A46</f>
        <v>6</v>
      </c>
      <c r="C134" s="60" t="str">
        <f>Hold!B46</f>
        <v>Torben</v>
      </c>
      <c r="D134" s="63">
        <f>Hold!Q46</f>
        <v>0</v>
      </c>
    </row>
    <row r="135" spans="1:4" ht="15.75" x14ac:dyDescent="0.25">
      <c r="A135" s="59">
        <v>130</v>
      </c>
      <c r="B135" s="59">
        <f>Hold!A49</f>
        <v>6</v>
      </c>
      <c r="C135" s="60" t="str">
        <f>Hold!B49</f>
        <v>Lukas</v>
      </c>
      <c r="D135" s="63">
        <f>Hold!Q49</f>
        <v>0</v>
      </c>
    </row>
    <row r="136" spans="1:4" ht="15.75" x14ac:dyDescent="0.25">
      <c r="A136" s="59">
        <v>131</v>
      </c>
      <c r="B136" s="59">
        <f>Hold!A78</f>
        <v>10</v>
      </c>
      <c r="C136" s="60" t="str">
        <f>Hold!B78</f>
        <v>Bent Ole</v>
      </c>
      <c r="D136" s="63">
        <f>Hold!Q78</f>
        <v>0</v>
      </c>
    </row>
    <row r="137" spans="1:4" ht="15.75" x14ac:dyDescent="0.25">
      <c r="A137" s="59">
        <v>132</v>
      </c>
      <c r="B137" s="59">
        <f>Hold!A254</f>
        <v>32</v>
      </c>
      <c r="C137" s="60" t="str">
        <f>Hold!B254</f>
        <v>Kristoffer</v>
      </c>
      <c r="D137" s="63">
        <f>Hold!Q254</f>
        <v>0</v>
      </c>
    </row>
    <row r="138" spans="1:4" ht="15.75" x14ac:dyDescent="0.25">
      <c r="A138" s="59">
        <v>133</v>
      </c>
      <c r="B138" s="59">
        <f>Hold!A255</f>
        <v>32</v>
      </c>
      <c r="C138" s="60" t="str">
        <f>Hold!B255</f>
        <v>Cindie</v>
      </c>
      <c r="D138" s="63">
        <f>Hold!Q255</f>
        <v>0</v>
      </c>
    </row>
    <row r="139" spans="1:4" ht="15.75" x14ac:dyDescent="0.25">
      <c r="A139" s="59">
        <v>134</v>
      </c>
      <c r="B139" s="59">
        <f>Hold!A217</f>
        <v>27</v>
      </c>
      <c r="C139" s="60" t="str">
        <f>Hold!B217</f>
        <v>reserve</v>
      </c>
      <c r="D139" s="63">
        <f>Hold!Q217</f>
        <v>0</v>
      </c>
    </row>
    <row r="140" spans="1:4" ht="15.75" x14ac:dyDescent="0.25">
      <c r="A140" s="59">
        <v>135</v>
      </c>
      <c r="B140" s="59">
        <f>Hold!A225</f>
        <v>28</v>
      </c>
      <c r="C140" s="60" t="str">
        <f>Hold!B225</f>
        <v xml:space="preserve">Lin </v>
      </c>
      <c r="D140" s="63">
        <f>Hold!Q225</f>
        <v>0</v>
      </c>
    </row>
    <row r="141" spans="1:4" ht="15.75" x14ac:dyDescent="0.25">
      <c r="A141" s="59">
        <v>136</v>
      </c>
      <c r="B141" s="59">
        <f>Hold!A253</f>
        <v>32</v>
      </c>
      <c r="C141" s="60" t="str">
        <f>Hold!B253</f>
        <v>Charlotte</v>
      </c>
      <c r="D141" s="63">
        <f>Hold!Q253</f>
        <v>0</v>
      </c>
    </row>
    <row r="142" spans="1:4" ht="15.75" x14ac:dyDescent="0.25">
      <c r="A142" s="59">
        <v>137</v>
      </c>
      <c r="B142" s="59">
        <f>Hold!A56</f>
        <v>7</v>
      </c>
      <c r="C142" s="60">
        <f>Hold!B56</f>
        <v>0</v>
      </c>
      <c r="D142" s="63">
        <f>Hold!Q56</f>
        <v>0</v>
      </c>
    </row>
    <row r="143" spans="1:4" ht="15.75" x14ac:dyDescent="0.25">
      <c r="A143" s="59">
        <v>138</v>
      </c>
      <c r="B143" s="59">
        <f>Hold!A189</f>
        <v>24</v>
      </c>
      <c r="C143" s="60">
        <f>Hold!B189</f>
        <v>0</v>
      </c>
      <c r="D143" s="63">
        <f>Hold!Q189</f>
        <v>0</v>
      </c>
    </row>
    <row r="144" spans="1:4" ht="15.75" x14ac:dyDescent="0.25">
      <c r="A144" s="59">
        <v>139</v>
      </c>
      <c r="B144" s="59">
        <f>Hold!A190</f>
        <v>24</v>
      </c>
      <c r="C144" s="60">
        <f>Hold!B190</f>
        <v>0</v>
      </c>
      <c r="D144" s="63">
        <f>Hold!Q190</f>
        <v>0</v>
      </c>
    </row>
    <row r="145" spans="1:4" ht="15.75" x14ac:dyDescent="0.25">
      <c r="A145" s="59">
        <v>140</v>
      </c>
      <c r="B145" s="59">
        <f>Hold!A191</f>
        <v>24</v>
      </c>
      <c r="C145" s="60">
        <f>Hold!B191</f>
        <v>0</v>
      </c>
      <c r="D145" s="63">
        <f>Hold!Q191</f>
        <v>0</v>
      </c>
    </row>
    <row r="146" spans="1:4" ht="15.75" x14ac:dyDescent="0.25">
      <c r="A146" s="59">
        <v>141</v>
      </c>
      <c r="B146" s="59">
        <f>Hold!A192</f>
        <v>24</v>
      </c>
      <c r="C146" s="60">
        <f>Hold!B192</f>
        <v>0</v>
      </c>
      <c r="D146" s="63">
        <f>Hold!Q192</f>
        <v>0</v>
      </c>
    </row>
    <row r="147" spans="1:4" ht="15.75" x14ac:dyDescent="0.25">
      <c r="A147" s="59">
        <v>142</v>
      </c>
      <c r="B147" s="59">
        <f>Hold!A269</f>
        <v>34</v>
      </c>
      <c r="C147" s="60" t="str">
        <f>Hold!B269</f>
        <v>Navn1</v>
      </c>
      <c r="D147" s="63">
        <f>Hold!Q269</f>
        <v>0</v>
      </c>
    </row>
    <row r="148" spans="1:4" ht="15.75" x14ac:dyDescent="0.25">
      <c r="A148" s="59">
        <v>143</v>
      </c>
      <c r="B148" s="59">
        <f>Hold!A270</f>
        <v>34</v>
      </c>
      <c r="C148" s="60" t="str">
        <f>Hold!B270</f>
        <v>Navn2</v>
      </c>
      <c r="D148" s="63">
        <f>Hold!Q270</f>
        <v>0</v>
      </c>
    </row>
    <row r="149" spans="1:4" ht="15.75" x14ac:dyDescent="0.25">
      <c r="A149" s="59">
        <v>144</v>
      </c>
      <c r="B149" s="59">
        <f>Hold!A271</f>
        <v>34</v>
      </c>
      <c r="C149" s="60" t="str">
        <f>Hold!B271</f>
        <v>Navn3</v>
      </c>
      <c r="D149" s="63">
        <f>Hold!Q271</f>
        <v>0</v>
      </c>
    </row>
    <row r="150" spans="1:4" ht="15.75" x14ac:dyDescent="0.25">
      <c r="A150" s="59">
        <v>145</v>
      </c>
      <c r="B150" s="59">
        <f>Hold!A272</f>
        <v>34</v>
      </c>
      <c r="C150" s="60" t="str">
        <f>Hold!B272</f>
        <v>Navn4</v>
      </c>
      <c r="D150" s="63">
        <f>Hold!Q272</f>
        <v>0</v>
      </c>
    </row>
    <row r="151" spans="1:4" ht="15.75" x14ac:dyDescent="0.25">
      <c r="A151" s="59">
        <v>146</v>
      </c>
      <c r="B151" s="59">
        <f>Hold!A277</f>
        <v>35</v>
      </c>
      <c r="C151" s="60">
        <f>Hold!B277</f>
        <v>0</v>
      </c>
      <c r="D151" s="63">
        <f>Hold!Q277</f>
        <v>0</v>
      </c>
    </row>
    <row r="152" spans="1:4" ht="15.75" x14ac:dyDescent="0.25">
      <c r="A152" s="59">
        <v>147</v>
      </c>
      <c r="B152" s="59">
        <f>Hold!A278</f>
        <v>35</v>
      </c>
      <c r="C152" s="60">
        <f>Hold!B278</f>
        <v>0</v>
      </c>
      <c r="D152" s="63">
        <f>Hold!Q278</f>
        <v>0</v>
      </c>
    </row>
    <row r="153" spans="1:4" ht="15.75" x14ac:dyDescent="0.25">
      <c r="A153" s="59">
        <v>148</v>
      </c>
      <c r="B153" s="59">
        <f>Hold!A279</f>
        <v>35</v>
      </c>
      <c r="C153" s="60">
        <f>Hold!B279</f>
        <v>0</v>
      </c>
      <c r="D153" s="63">
        <f>Hold!Q279</f>
        <v>0</v>
      </c>
    </row>
    <row r="154" spans="1:4" ht="15.75" x14ac:dyDescent="0.25">
      <c r="A154" s="59">
        <v>149</v>
      </c>
      <c r="B154" s="59">
        <f>Hold!A280</f>
        <v>35</v>
      </c>
      <c r="C154" s="60">
        <f>Hold!B280</f>
        <v>0</v>
      </c>
      <c r="D154" s="63">
        <f>Hold!Q280</f>
        <v>0</v>
      </c>
    </row>
    <row r="155" spans="1:4" ht="15.75" x14ac:dyDescent="0.25">
      <c r="A155" s="59">
        <v>150</v>
      </c>
      <c r="B155" s="59">
        <f>Hold!A285</f>
        <v>36</v>
      </c>
      <c r="C155" s="60">
        <f>Hold!B285</f>
        <v>0</v>
      </c>
      <c r="D155" s="63">
        <f>Hold!Q285</f>
        <v>0</v>
      </c>
    </row>
    <row r="156" spans="1:4" ht="15.75" x14ac:dyDescent="0.25">
      <c r="A156" s="59">
        <v>151</v>
      </c>
      <c r="B156" s="59">
        <f>Hold!A286</f>
        <v>36</v>
      </c>
      <c r="C156" s="60">
        <f>Hold!B286</f>
        <v>0</v>
      </c>
      <c r="D156" s="63">
        <f>Hold!Q286</f>
        <v>0</v>
      </c>
    </row>
    <row r="157" spans="1:4" ht="15.75" x14ac:dyDescent="0.25">
      <c r="A157" s="59">
        <v>152</v>
      </c>
      <c r="B157" s="59">
        <f>Hold!A287</f>
        <v>36</v>
      </c>
      <c r="C157" s="60">
        <f>Hold!B287</f>
        <v>0</v>
      </c>
      <c r="D157" s="63">
        <f>Hold!Q287</f>
        <v>0</v>
      </c>
    </row>
    <row r="158" spans="1:4" ht="15.75" x14ac:dyDescent="0.25">
      <c r="A158" s="59">
        <v>153</v>
      </c>
      <c r="B158" s="59">
        <f>Hold!A288</f>
        <v>36</v>
      </c>
      <c r="C158" s="60">
        <f>Hold!B288</f>
        <v>0</v>
      </c>
      <c r="D158" s="63">
        <f>Hold!Q288</f>
        <v>0</v>
      </c>
    </row>
    <row r="159" spans="1:4" ht="15.75" x14ac:dyDescent="0.25">
      <c r="A159" s="59">
        <v>154</v>
      </c>
      <c r="B159" s="59">
        <f>Hold!A293</f>
        <v>37</v>
      </c>
      <c r="C159" s="60">
        <f>Hold!B293</f>
        <v>0</v>
      </c>
      <c r="D159" s="63">
        <f>Hold!Q293</f>
        <v>0</v>
      </c>
    </row>
    <row r="160" spans="1:4" ht="15.75" x14ac:dyDescent="0.25">
      <c r="A160" s="59">
        <v>155</v>
      </c>
      <c r="B160" s="59">
        <f>Hold!A294</f>
        <v>37</v>
      </c>
      <c r="C160" s="60">
        <f>Hold!B294</f>
        <v>0</v>
      </c>
      <c r="D160" s="63">
        <f>Hold!Q294</f>
        <v>0</v>
      </c>
    </row>
    <row r="161" spans="1:4" ht="15.75" x14ac:dyDescent="0.25">
      <c r="A161" s="59">
        <v>156</v>
      </c>
      <c r="B161" s="59">
        <f>Hold!A295</f>
        <v>37</v>
      </c>
      <c r="C161" s="60">
        <f>Hold!B295</f>
        <v>0</v>
      </c>
      <c r="D161" s="63">
        <f>Hold!Q295</f>
        <v>0</v>
      </c>
    </row>
    <row r="162" spans="1:4" ht="15.75" x14ac:dyDescent="0.25">
      <c r="A162" s="59">
        <v>157</v>
      </c>
      <c r="B162" s="59">
        <f>Hold!A296</f>
        <v>37</v>
      </c>
      <c r="C162" s="60">
        <f>Hold!B296</f>
        <v>0</v>
      </c>
      <c r="D162" s="63">
        <f>Hold!Q296</f>
        <v>0</v>
      </c>
    </row>
    <row r="163" spans="1:4" ht="15.75" x14ac:dyDescent="0.25">
      <c r="A163" s="59">
        <v>158</v>
      </c>
      <c r="B163" s="59">
        <f>Hold!A301</f>
        <v>38</v>
      </c>
      <c r="C163" s="60">
        <f>Hold!B301</f>
        <v>0</v>
      </c>
      <c r="D163" s="63">
        <f>Hold!Q301</f>
        <v>0</v>
      </c>
    </row>
    <row r="164" spans="1:4" ht="15.75" x14ac:dyDescent="0.25">
      <c r="A164" s="59">
        <v>159</v>
      </c>
      <c r="B164" s="59">
        <f>Hold!A302</f>
        <v>38</v>
      </c>
      <c r="C164" s="60">
        <f>Hold!B302</f>
        <v>0</v>
      </c>
      <c r="D164" s="63">
        <f>Hold!Q302</f>
        <v>0</v>
      </c>
    </row>
    <row r="165" spans="1:4" ht="15.75" x14ac:dyDescent="0.25">
      <c r="A165" s="59">
        <v>160</v>
      </c>
      <c r="B165" s="59">
        <f>Hold!A303</f>
        <v>38</v>
      </c>
      <c r="C165" s="60">
        <f>Hold!B303</f>
        <v>0</v>
      </c>
      <c r="D165" s="63">
        <f>Hold!Q303</f>
        <v>0</v>
      </c>
    </row>
    <row r="166" spans="1:4" ht="15.75" x14ac:dyDescent="0.25">
      <c r="A166" s="59">
        <v>161</v>
      </c>
      <c r="B166" s="59">
        <f>Hold!A304</f>
        <v>38</v>
      </c>
      <c r="C166" s="60" t="str">
        <f>Hold!B304</f>
        <v>Navn4</v>
      </c>
      <c r="D166" s="63">
        <f>Hold!Q304</f>
        <v>0</v>
      </c>
    </row>
    <row r="167" spans="1:4" ht="15.75" x14ac:dyDescent="0.25">
      <c r="A167" s="59">
        <v>162</v>
      </c>
      <c r="B167" s="59">
        <f>Hold!A309</f>
        <v>39</v>
      </c>
      <c r="C167" s="60" t="str">
        <f>Hold!B309</f>
        <v>Navn1</v>
      </c>
      <c r="D167" s="63">
        <f>Hold!Q309</f>
        <v>0</v>
      </c>
    </row>
    <row r="168" spans="1:4" ht="15.75" x14ac:dyDescent="0.25">
      <c r="A168" s="59">
        <v>163</v>
      </c>
      <c r="B168" s="59">
        <f>Hold!A310</f>
        <v>39</v>
      </c>
      <c r="C168" s="60" t="str">
        <f>Hold!B310</f>
        <v>Navn2</v>
      </c>
      <c r="D168" s="63">
        <f>Hold!Q310</f>
        <v>0</v>
      </c>
    </row>
    <row r="169" spans="1:4" ht="15.75" x14ac:dyDescent="0.25">
      <c r="A169" s="59">
        <v>164</v>
      </c>
      <c r="B169" s="59">
        <f>Hold!A311</f>
        <v>39</v>
      </c>
      <c r="C169" s="60" t="str">
        <f>Hold!B311</f>
        <v>Navn3</v>
      </c>
      <c r="D169" s="63">
        <f>Hold!Q311</f>
        <v>0</v>
      </c>
    </row>
    <row r="170" spans="1:4" ht="15.75" x14ac:dyDescent="0.25">
      <c r="A170" s="59">
        <v>165</v>
      </c>
      <c r="B170" s="59">
        <f>Hold!A312</f>
        <v>39</v>
      </c>
      <c r="C170" s="60" t="str">
        <f>Hold!B312</f>
        <v>Navn4</v>
      </c>
      <c r="D170" s="63">
        <f>Hold!Q312</f>
        <v>0</v>
      </c>
    </row>
    <row r="171" spans="1:4" ht="15.75" x14ac:dyDescent="0.25">
      <c r="A171" s="59">
        <v>166</v>
      </c>
      <c r="B171" s="59">
        <f>Hold!A317</f>
        <v>40</v>
      </c>
      <c r="C171" s="60" t="str">
        <f>Hold!B317</f>
        <v>Navn1</v>
      </c>
      <c r="D171" s="63">
        <f>Hold!Q317</f>
        <v>0</v>
      </c>
    </row>
    <row r="172" spans="1:4" ht="15.75" x14ac:dyDescent="0.25">
      <c r="A172" s="59">
        <v>167</v>
      </c>
      <c r="B172" s="59">
        <f>Hold!A318</f>
        <v>40</v>
      </c>
      <c r="C172" s="60" t="str">
        <f>Hold!B318</f>
        <v>Navn2</v>
      </c>
      <c r="D172" s="63">
        <f>Hold!Q318</f>
        <v>0</v>
      </c>
    </row>
    <row r="173" spans="1:4" ht="15.75" x14ac:dyDescent="0.25">
      <c r="A173" s="59">
        <v>168</v>
      </c>
      <c r="B173" s="59">
        <f>Hold!A319</f>
        <v>40</v>
      </c>
      <c r="C173" s="60" t="str">
        <f>Hold!B319</f>
        <v>Navn3</v>
      </c>
      <c r="D173" s="63">
        <f>Hold!Q319</f>
        <v>0</v>
      </c>
    </row>
    <row r="174" spans="1:4" ht="15.75" x14ac:dyDescent="0.25">
      <c r="A174" s="59">
        <v>169</v>
      </c>
      <c r="B174" s="59">
        <f>Hold!A320</f>
        <v>40</v>
      </c>
      <c r="C174" s="60" t="str">
        <f>Hold!B320</f>
        <v>Navn4</v>
      </c>
      <c r="D174" s="63">
        <f>Hold!Q320</f>
        <v>0</v>
      </c>
    </row>
    <row r="175" spans="1:4" ht="15.75" x14ac:dyDescent="0.25">
      <c r="A175" s="59">
        <v>170</v>
      </c>
      <c r="B175" s="59">
        <f>Hold!A136</f>
        <v>17</v>
      </c>
      <c r="C175" s="60">
        <f>Hold!B136</f>
        <v>0</v>
      </c>
      <c r="D175" s="63">
        <f>Hold!Q136</f>
        <v>0</v>
      </c>
    </row>
    <row r="176" spans="1:4" ht="15.75" x14ac:dyDescent="0.25">
      <c r="A176" s="59">
        <v>171</v>
      </c>
      <c r="B176" s="59">
        <f>Hold!A8</f>
        <v>1</v>
      </c>
      <c r="C176" s="60">
        <f>Hold!B8</f>
        <v>0</v>
      </c>
      <c r="D176" s="63">
        <f>Hold!Q8</f>
        <v>0</v>
      </c>
    </row>
    <row r="177" spans="1:4" ht="15.75" x14ac:dyDescent="0.25">
      <c r="A177" s="59">
        <v>172</v>
      </c>
      <c r="B177" s="59">
        <f>Hold!A17</f>
        <v>2</v>
      </c>
      <c r="C177" s="60" t="str">
        <f>Hold!B17</f>
        <v>reserve</v>
      </c>
      <c r="D177" s="63">
        <f>Hold!Q17</f>
        <v>0</v>
      </c>
    </row>
    <row r="178" spans="1:4" ht="15.75" x14ac:dyDescent="0.25">
      <c r="A178" s="59">
        <v>173</v>
      </c>
      <c r="B178" s="59">
        <f>Hold!A22</f>
        <v>3</v>
      </c>
      <c r="C178" s="60" t="str">
        <f>Hold!B22</f>
        <v>Bjarne</v>
      </c>
      <c r="D178" s="63">
        <f>Hold!Q22</f>
        <v>0</v>
      </c>
    </row>
    <row r="179" spans="1:4" ht="15.75" x14ac:dyDescent="0.25">
      <c r="A179" s="59">
        <v>174</v>
      </c>
      <c r="B179" s="59">
        <f>Hold!A57</f>
        <v>7</v>
      </c>
      <c r="C179" s="60" t="str">
        <f>Hold!B57</f>
        <v>reserve</v>
      </c>
      <c r="D179" s="63">
        <f>Hold!Q57</f>
        <v>0</v>
      </c>
    </row>
    <row r="180" spans="1:4" ht="15.75" x14ac:dyDescent="0.25">
      <c r="A180" s="59">
        <v>175</v>
      </c>
      <c r="B180" s="59">
        <f>Hold!A65</f>
        <v>8</v>
      </c>
      <c r="C180" s="60" t="str">
        <f>Hold!B65</f>
        <v>reserve</v>
      </c>
      <c r="D180" s="63">
        <f>Hold!Q65</f>
        <v>0</v>
      </c>
    </row>
    <row r="181" spans="1:4" ht="15.75" x14ac:dyDescent="0.25">
      <c r="A181" s="59">
        <v>176</v>
      </c>
      <c r="B181" s="59">
        <f>Hold!A72</f>
        <v>9</v>
      </c>
      <c r="C181" s="60" t="str">
        <f>Hold!B72</f>
        <v>Navn4</v>
      </c>
      <c r="D181" s="63">
        <f>Hold!Q72</f>
        <v>0</v>
      </c>
    </row>
    <row r="182" spans="1:4" ht="15.75" x14ac:dyDescent="0.25">
      <c r="A182" s="59">
        <v>177</v>
      </c>
      <c r="B182" s="59">
        <f>Hold!A73</f>
        <v>9</v>
      </c>
      <c r="C182" s="60" t="str">
        <f>Hold!B73</f>
        <v>reserve</v>
      </c>
      <c r="D182" s="63">
        <f>Hold!Q73</f>
        <v>0</v>
      </c>
    </row>
    <row r="183" spans="1:4" ht="15.75" x14ac:dyDescent="0.25">
      <c r="A183" s="59">
        <v>178</v>
      </c>
      <c r="B183" s="59">
        <f>Hold!A81</f>
        <v>10</v>
      </c>
      <c r="C183" s="60" t="str">
        <f>Hold!B81</f>
        <v>reserve</v>
      </c>
      <c r="D183" s="63">
        <f>Hold!Q81</f>
        <v>0</v>
      </c>
    </row>
    <row r="184" spans="1:4" ht="15.75" x14ac:dyDescent="0.25">
      <c r="A184" s="59">
        <v>179</v>
      </c>
      <c r="B184" s="59">
        <f>Hold!A89</f>
        <v>11</v>
      </c>
      <c r="C184" s="60">
        <f>Hold!B89</f>
        <v>0</v>
      </c>
      <c r="D184" s="63">
        <f>Hold!Q89</f>
        <v>0</v>
      </c>
    </row>
    <row r="185" spans="1:4" ht="15.75" x14ac:dyDescent="0.25">
      <c r="A185" s="59">
        <v>180</v>
      </c>
      <c r="B185" s="59">
        <f>Hold!A97</f>
        <v>12</v>
      </c>
      <c r="C185" s="60">
        <f>Hold!B97</f>
        <v>0</v>
      </c>
      <c r="D185" s="63">
        <f>Hold!Q97</f>
        <v>0</v>
      </c>
    </row>
    <row r="186" spans="1:4" ht="15.75" x14ac:dyDescent="0.25">
      <c r="A186" s="59">
        <v>181</v>
      </c>
      <c r="B186" s="59">
        <f>Hold!A105</f>
        <v>13</v>
      </c>
      <c r="C186" s="60">
        <f>Hold!B105</f>
        <v>0</v>
      </c>
      <c r="D186" s="63">
        <f>Hold!Q105</f>
        <v>0</v>
      </c>
    </row>
    <row r="187" spans="1:4" ht="15.75" x14ac:dyDescent="0.25">
      <c r="A187" s="59">
        <v>182</v>
      </c>
      <c r="B187" s="59">
        <f>Hold!A113</f>
        <v>14</v>
      </c>
      <c r="C187" s="60" t="str">
        <f>Hold!B113</f>
        <v>reserve</v>
      </c>
      <c r="D187" s="63">
        <f>Hold!Q113</f>
        <v>0</v>
      </c>
    </row>
    <row r="188" spans="1:4" ht="15.75" x14ac:dyDescent="0.25">
      <c r="A188" s="59">
        <v>183</v>
      </c>
      <c r="B188" s="59">
        <f>Hold!A121</f>
        <v>15</v>
      </c>
      <c r="C188" s="60" t="str">
        <f>Hold!B121</f>
        <v>reserve</v>
      </c>
      <c r="D188" s="63">
        <f>Hold!Q121</f>
        <v>0</v>
      </c>
    </row>
    <row r="189" spans="1:4" ht="15.75" x14ac:dyDescent="0.25">
      <c r="A189" s="59">
        <v>184</v>
      </c>
      <c r="B189" s="59">
        <f>Hold!A129</f>
        <v>16</v>
      </c>
      <c r="C189" s="60" t="str">
        <f>Hold!B129</f>
        <v>reserve</v>
      </c>
      <c r="D189" s="63">
        <f>Hold!Q129</f>
        <v>0</v>
      </c>
    </row>
    <row r="190" spans="1:4" ht="15.75" x14ac:dyDescent="0.25">
      <c r="A190" s="59">
        <v>185</v>
      </c>
      <c r="B190" s="59">
        <f>Hold!A137</f>
        <v>17</v>
      </c>
      <c r="C190" s="60" t="str">
        <f>Hold!B137</f>
        <v>reserve</v>
      </c>
      <c r="D190" s="63">
        <f>Hold!Q137</f>
        <v>0</v>
      </c>
    </row>
    <row r="191" spans="1:4" ht="15.75" x14ac:dyDescent="0.25">
      <c r="A191" s="59">
        <v>186</v>
      </c>
      <c r="B191" s="59">
        <f>Hold!A153</f>
        <v>19</v>
      </c>
      <c r="C191" s="60" t="str">
        <f>Hold!B153</f>
        <v>reserve</v>
      </c>
      <c r="D191" s="63">
        <f>Hold!Q153</f>
        <v>0</v>
      </c>
    </row>
    <row r="192" spans="1:4" ht="15.75" x14ac:dyDescent="0.25">
      <c r="A192" s="59">
        <v>187</v>
      </c>
      <c r="B192" s="59">
        <f>Hold!A193</f>
        <v>24</v>
      </c>
      <c r="C192" s="60" t="str">
        <f>Hold!B193</f>
        <v>reserve</v>
      </c>
      <c r="D192" s="63">
        <f>Hold!Q193</f>
        <v>0</v>
      </c>
    </row>
    <row r="193" spans="1:4" ht="15.75" x14ac:dyDescent="0.25">
      <c r="A193" s="59">
        <v>188</v>
      </c>
      <c r="B193" s="59">
        <f>Hold!A200</f>
        <v>25</v>
      </c>
      <c r="C193" s="60">
        <f>Hold!B200</f>
        <v>0</v>
      </c>
      <c r="D193" s="63">
        <f>Hold!Q200</f>
        <v>0</v>
      </c>
    </row>
    <row r="194" spans="1:4" ht="15.75" x14ac:dyDescent="0.25">
      <c r="A194" s="59">
        <v>189</v>
      </c>
      <c r="B194" s="59">
        <f>Hold!A201</f>
        <v>25</v>
      </c>
      <c r="C194" s="60" t="str">
        <f>Hold!B201</f>
        <v>reserve</v>
      </c>
      <c r="D194" s="63">
        <f>Hold!Q201</f>
        <v>0</v>
      </c>
    </row>
    <row r="195" spans="1:4" ht="15.75" x14ac:dyDescent="0.25">
      <c r="A195" s="59">
        <v>190</v>
      </c>
      <c r="B195" s="59">
        <f>Hold!A233</f>
        <v>29</v>
      </c>
      <c r="C195" s="60" t="str">
        <f>Hold!B233</f>
        <v>reserve</v>
      </c>
      <c r="D195" s="63">
        <f>Hold!Q233</f>
        <v>0</v>
      </c>
    </row>
    <row r="196" spans="1:4" ht="15.75" x14ac:dyDescent="0.25">
      <c r="A196" s="59">
        <v>191</v>
      </c>
      <c r="B196" s="59">
        <f>Hold!A241</f>
        <v>30</v>
      </c>
      <c r="C196" s="60" t="str">
        <f>Hold!B241</f>
        <v>reserve</v>
      </c>
      <c r="D196" s="63">
        <f>Hold!Q241</f>
        <v>0</v>
      </c>
    </row>
    <row r="197" spans="1:4" ht="15.75" x14ac:dyDescent="0.25">
      <c r="A197" s="59">
        <v>192</v>
      </c>
      <c r="B197" s="59">
        <f>Hold!A256</f>
        <v>32</v>
      </c>
      <c r="C197" s="60" t="str">
        <f>Hold!B256</f>
        <v>Navn4</v>
      </c>
      <c r="D197" s="63">
        <f>Hold!Q256</f>
        <v>0</v>
      </c>
    </row>
    <row r="198" spans="1:4" ht="15.75" x14ac:dyDescent="0.25">
      <c r="A198" s="59">
        <v>193</v>
      </c>
      <c r="B198" s="59">
        <f>Hold!A257</f>
        <v>32</v>
      </c>
      <c r="C198" s="60" t="str">
        <f>Hold!B257</f>
        <v>reserve</v>
      </c>
      <c r="D198" s="63">
        <f>Hold!Q257</f>
        <v>0</v>
      </c>
    </row>
    <row r="199" spans="1:4" ht="15.75" x14ac:dyDescent="0.25">
      <c r="A199" s="59">
        <v>194</v>
      </c>
      <c r="B199" s="59">
        <f>Hold!A273</f>
        <v>34</v>
      </c>
      <c r="C199" s="60" t="str">
        <f>Hold!B273</f>
        <v>reserve</v>
      </c>
      <c r="D199" s="63">
        <f>Hold!Q273</f>
        <v>0</v>
      </c>
    </row>
    <row r="200" spans="1:4" ht="15.75" x14ac:dyDescent="0.25">
      <c r="A200" s="59">
        <v>195</v>
      </c>
      <c r="B200" s="59">
        <f>Hold!A281</f>
        <v>35</v>
      </c>
      <c r="C200" s="60" t="str">
        <f>Hold!B281</f>
        <v>reserve</v>
      </c>
      <c r="D200" s="63">
        <f>Hold!Q281</f>
        <v>0</v>
      </c>
    </row>
    <row r="201" spans="1:4" ht="15.75" x14ac:dyDescent="0.25">
      <c r="A201" s="59">
        <v>196</v>
      </c>
      <c r="B201" s="59">
        <f>Hold!A289</f>
        <v>36</v>
      </c>
      <c r="C201" s="60" t="str">
        <f>Hold!B289</f>
        <v>reserve</v>
      </c>
      <c r="D201" s="63">
        <f>Hold!Q289</f>
        <v>0</v>
      </c>
    </row>
    <row r="202" spans="1:4" ht="15.75" x14ac:dyDescent="0.25">
      <c r="A202" s="59">
        <v>197</v>
      </c>
      <c r="B202" s="59">
        <f>Hold!A297</f>
        <v>37</v>
      </c>
      <c r="C202" s="60" t="str">
        <f>Hold!B297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202" s="63">
        <f>Hold!Q297</f>
        <v>0</v>
      </c>
    </row>
    <row r="203" spans="1:4" ht="15.75" x14ac:dyDescent="0.25">
      <c r="A203" s="59">
        <v>198</v>
      </c>
      <c r="B203" s="59">
        <f>Hold!A305</f>
        <v>38</v>
      </c>
      <c r="C203" s="60" t="str">
        <f>Hold!B305</f>
        <v>reserve</v>
      </c>
      <c r="D203" s="63">
        <f>Hold!Q305</f>
        <v>0</v>
      </c>
    </row>
    <row r="204" spans="1:4" ht="15.75" x14ac:dyDescent="0.25">
      <c r="A204" s="59">
        <v>199</v>
      </c>
      <c r="B204" s="59">
        <f>Hold!A313</f>
        <v>39</v>
      </c>
      <c r="C204" s="60" t="str">
        <f>Hold!B313</f>
        <v>reserve</v>
      </c>
      <c r="D204" s="63">
        <f>Hold!Q313</f>
        <v>0</v>
      </c>
    </row>
    <row r="205" spans="1:4" ht="15.75" x14ac:dyDescent="0.25">
      <c r="A205" s="59">
        <v>200</v>
      </c>
      <c r="B205" s="59">
        <f>Hold!A321</f>
        <v>40</v>
      </c>
      <c r="C205" s="60" t="str">
        <f>Hold!B321</f>
        <v>reserve</v>
      </c>
      <c r="D205" s="63">
        <f>Hold!Q321</f>
        <v>0</v>
      </c>
    </row>
  </sheetData>
  <sortState xmlns:xlrd2="http://schemas.microsoft.com/office/spreadsheetml/2017/richdata2" ref="B6:D203">
    <sortCondition descending="1" ref="D6:D203"/>
  </sortState>
  <mergeCells count="3">
    <mergeCell ref="A3:D3"/>
    <mergeCell ref="A2:D2"/>
    <mergeCell ref="B4:D4"/>
  </mergeCells>
  <phoneticPr fontId="0" type="noConversion"/>
  <pageMargins left="0.75" right="0.75" top="1" bottom="1" header="0" footer="0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Top</vt:lpstr>
      <vt:lpstr>Hold</vt:lpstr>
      <vt:lpstr>pers. score </vt:lpstr>
      <vt:lpstr>'pers. score '!Udskriftsområde</vt:lpstr>
      <vt:lpstr>Top!Udskriftsområde</vt:lpstr>
    </vt:vector>
  </TitlesOfParts>
  <Company>IBM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</dc:creator>
  <cp:lastModifiedBy>Rune Søegaard Nielsen</cp:lastModifiedBy>
  <cp:lastPrinted>2023-11-03T06:35:27Z</cp:lastPrinted>
  <dcterms:created xsi:type="dcterms:W3CDTF">2004-09-18T10:00:21Z</dcterms:created>
  <dcterms:modified xsi:type="dcterms:W3CDTF">2023-11-03T06:35:48Z</dcterms:modified>
</cp:coreProperties>
</file>